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업무\5. 보고서 발간 관리\24.6월\[NR23-001-36]마이오글로빈\"/>
    </mc:Choice>
  </mc:AlternateContent>
  <bookViews>
    <workbookView xWindow="0" yWindow="0" windowWidth="28800" windowHeight="10935" tabRatio="818" activeTab="4"/>
  </bookViews>
  <sheets>
    <sheet name="전체 목록(n=66)" sheetId="8" r:id="rId1"/>
    <sheet name="(1)단독검사_진단정확성" sheetId="13" r:id="rId2"/>
    <sheet name="(2)단독검사_경과추적" sheetId="14" r:id="rId3"/>
    <sheet name="(3)병용검사_진단정확성" sheetId="7" r:id="rId4"/>
    <sheet name="약어" sheetId="4" r:id="rId5"/>
  </sheets>
  <definedNames>
    <definedName name="_xlnm._FilterDatabase" localSheetId="1" hidden="1">'(1)단독검사_진단정확성'!$A$3:$AH$331</definedName>
    <definedName name="_xlnm._FilterDatabase" localSheetId="2" hidden="1">'(2)단독검사_경과추적'!$A$3:$AH$25</definedName>
    <definedName name="_xlnm._FilterDatabase" localSheetId="3" hidden="1">'(3)병용검사_진단정확성'!$A$3:$AH$85</definedName>
    <definedName name="_xlnm._FilterDatabase" localSheetId="0" hidden="1">'전체 목록(n=66)'!$B$1:$R$67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4" l="1"/>
  <c r="AB11" i="14" s="1"/>
  <c r="AD11" i="14" s="1"/>
  <c r="AA11" i="14"/>
  <c r="AC11" i="14"/>
  <c r="Z12" i="14"/>
  <c r="AB12" i="14" s="1"/>
  <c r="AD12" i="14" s="1"/>
  <c r="AC12" i="14"/>
  <c r="AA12" i="14" s="1"/>
  <c r="Z13" i="14"/>
  <c r="AB13" i="14"/>
  <c r="AD13" i="14" s="1"/>
  <c r="AC13" i="14"/>
  <c r="AA13" i="14" s="1"/>
  <c r="Z14" i="14"/>
  <c r="AA14" i="14"/>
  <c r="AB14" i="14"/>
  <c r="AD14" i="14" s="1"/>
  <c r="AC14" i="14"/>
  <c r="Z15" i="14"/>
  <c r="AB15" i="14" s="1"/>
  <c r="AD15" i="14" s="1"/>
  <c r="AA15" i="14"/>
  <c r="AC15" i="14"/>
  <c r="Z16" i="14"/>
  <c r="AB16" i="14" s="1"/>
  <c r="AD16" i="14" s="1"/>
  <c r="AC16" i="14"/>
  <c r="AA16" i="14" s="1"/>
  <c r="Z17" i="14"/>
  <c r="AB17" i="14"/>
  <c r="AD17" i="14" s="1"/>
  <c r="AC17" i="14"/>
  <c r="AA17" i="14" s="1"/>
  <c r="Z18" i="14"/>
  <c r="AA18" i="14"/>
  <c r="AB18" i="14"/>
  <c r="AD18" i="14" s="1"/>
  <c r="AC18" i="14"/>
  <c r="Z19" i="14"/>
  <c r="AB19" i="14" s="1"/>
  <c r="AD19" i="14" s="1"/>
  <c r="AA19" i="14"/>
  <c r="AC19" i="14"/>
  <c r="Z20" i="14"/>
  <c r="AB20" i="14" s="1"/>
  <c r="AD20" i="14" s="1"/>
  <c r="AC20" i="14"/>
  <c r="AA20" i="14" s="1"/>
  <c r="I270" i="13" l="1"/>
  <c r="AC62" i="7" l="1"/>
  <c r="AA62" i="7" s="1"/>
  <c r="AC61" i="7"/>
  <c r="AA61" i="7" s="1"/>
  <c r="Z62" i="7"/>
  <c r="AB62" i="7" s="1"/>
  <c r="Z61" i="7"/>
  <c r="D62" i="7"/>
  <c r="D61" i="7"/>
  <c r="AD62" i="7" l="1"/>
  <c r="AF62" i="7"/>
  <c r="AH62" i="7"/>
  <c r="AE62" i="7"/>
  <c r="AG62" i="7"/>
  <c r="AF61" i="7"/>
  <c r="AE61" i="7"/>
  <c r="AB61" i="7"/>
  <c r="AD61" i="7" s="1"/>
  <c r="AH61" i="7" l="1"/>
  <c r="AG61" i="7"/>
  <c r="Z80" i="7"/>
  <c r="AB80" i="7" s="1"/>
  <c r="I80" i="7"/>
  <c r="E80" i="7" s="1"/>
  <c r="Z79" i="7"/>
  <c r="I79" i="7"/>
  <c r="AC79" i="7" s="1"/>
  <c r="Z78" i="7"/>
  <c r="I78" i="7"/>
  <c r="E78" i="7" s="1"/>
  <c r="Z77" i="7"/>
  <c r="I77" i="7"/>
  <c r="E77" i="7" s="1"/>
  <c r="Z76" i="7"/>
  <c r="AB76" i="7" s="1"/>
  <c r="I76" i="7"/>
  <c r="AC76" i="7" s="1"/>
  <c r="AC72" i="7"/>
  <c r="Z72" i="7"/>
  <c r="AB72" i="7" s="1"/>
  <c r="E72" i="7"/>
  <c r="AC71" i="7"/>
  <c r="Z71" i="7"/>
  <c r="E71" i="7"/>
  <c r="AC70" i="7"/>
  <c r="AA70" i="7" s="1"/>
  <c r="Z70" i="7"/>
  <c r="AB70" i="7" s="1"/>
  <c r="E70" i="7"/>
  <c r="AC69" i="7"/>
  <c r="Z69" i="7"/>
  <c r="AB69" i="7" s="1"/>
  <c r="E69" i="7"/>
  <c r="AC68" i="7"/>
  <c r="AA68" i="7" s="1"/>
  <c r="AE68" i="7" s="1"/>
  <c r="Z68" i="7"/>
  <c r="E68" i="7"/>
  <c r="AC67" i="7"/>
  <c r="AA67" i="7" s="1"/>
  <c r="Z67" i="7"/>
  <c r="E67" i="7"/>
  <c r="Z65" i="7"/>
  <c r="I65" i="7"/>
  <c r="AC65" i="7" s="1"/>
  <c r="Z64" i="7"/>
  <c r="AB64" i="7" s="1"/>
  <c r="I64" i="7"/>
  <c r="AC58" i="7"/>
  <c r="AA58" i="7" s="1"/>
  <c r="AE58" i="7" s="1"/>
  <c r="Z58" i="7"/>
  <c r="AC57" i="7"/>
  <c r="AA57" i="7" s="1"/>
  <c r="AE57" i="7" s="1"/>
  <c r="Z57" i="7"/>
  <c r="AC52" i="7"/>
  <c r="AA52" i="7" s="1"/>
  <c r="AE52" i="7" s="1"/>
  <c r="Z52" i="7"/>
  <c r="AC51" i="7"/>
  <c r="AA51" i="7" s="1"/>
  <c r="AE51" i="7" s="1"/>
  <c r="Z51" i="7"/>
  <c r="AC50" i="7"/>
  <c r="AA50" i="7" s="1"/>
  <c r="AE50" i="7" s="1"/>
  <c r="Z50" i="7"/>
  <c r="AC49" i="7"/>
  <c r="AA49" i="7" s="1"/>
  <c r="AE49" i="7" s="1"/>
  <c r="Z49" i="7"/>
  <c r="AC48" i="7"/>
  <c r="AA48" i="7" s="1"/>
  <c r="AE48" i="7" s="1"/>
  <c r="Z48" i="7"/>
  <c r="AC47" i="7"/>
  <c r="AA47" i="7" s="1"/>
  <c r="AE47" i="7" s="1"/>
  <c r="Z47" i="7"/>
  <c r="AC46" i="7"/>
  <c r="AA46" i="7" s="1"/>
  <c r="AE46" i="7" s="1"/>
  <c r="Z46" i="7"/>
  <c r="AC45" i="7"/>
  <c r="AA45" i="7" s="1"/>
  <c r="AE45" i="7" s="1"/>
  <c r="Z45" i="7"/>
  <c r="Z42" i="7"/>
  <c r="I42" i="7"/>
  <c r="AC42" i="7" s="1"/>
  <c r="Z41" i="7"/>
  <c r="AB41" i="7" s="1"/>
  <c r="I41" i="7"/>
  <c r="AC41" i="7" s="1"/>
  <c r="Z40" i="7"/>
  <c r="AB40" i="7" s="1"/>
  <c r="I40" i="7"/>
  <c r="AC40" i="7" s="1"/>
  <c r="Z39" i="7"/>
  <c r="I39" i="7"/>
  <c r="AC39" i="7" s="1"/>
  <c r="AC37" i="7"/>
  <c r="AA37" i="7" s="1"/>
  <c r="AE37" i="7" s="1"/>
  <c r="Z37" i="7"/>
  <c r="AC36" i="7"/>
  <c r="AA36" i="7" s="1"/>
  <c r="AE36" i="7" s="1"/>
  <c r="Z36" i="7"/>
  <c r="AC34" i="7"/>
  <c r="AA34" i="7" s="1"/>
  <c r="AE34" i="7" s="1"/>
  <c r="Z34" i="7"/>
  <c r="AB34" i="7" s="1"/>
  <c r="AC33" i="7"/>
  <c r="AA33" i="7" s="1"/>
  <c r="AE33" i="7" s="1"/>
  <c r="Z33" i="7"/>
  <c r="AC26" i="7"/>
  <c r="AA26" i="7" s="1"/>
  <c r="Z26" i="7"/>
  <c r="AC25" i="7"/>
  <c r="Z25" i="7"/>
  <c r="AB25" i="7" s="1"/>
  <c r="AC24" i="7"/>
  <c r="AA24" i="7" s="1"/>
  <c r="Z24" i="7"/>
  <c r="AB24" i="7" s="1"/>
  <c r="AC23" i="7"/>
  <c r="AA23" i="7" s="1"/>
  <c r="Z23" i="7"/>
  <c r="AB23" i="7" s="1"/>
  <c r="AC22" i="7"/>
  <c r="Z22" i="7"/>
  <c r="AC21" i="7"/>
  <c r="Z21" i="7"/>
  <c r="AB21" i="7" s="1"/>
  <c r="AC20" i="7"/>
  <c r="AA20" i="7" s="1"/>
  <c r="Z20" i="7"/>
  <c r="AB20" i="7" s="1"/>
  <c r="AC19" i="7"/>
  <c r="AA19" i="7" s="1"/>
  <c r="Z19" i="7"/>
  <c r="AC18" i="7"/>
  <c r="AA18" i="7" s="1"/>
  <c r="Z18" i="7"/>
  <c r="AC17" i="7"/>
  <c r="AA17" i="7" s="1"/>
  <c r="Z17" i="7"/>
  <c r="AB17" i="7" s="1"/>
  <c r="AC16" i="7"/>
  <c r="AA16" i="7" s="1"/>
  <c r="Z16" i="7"/>
  <c r="AB16" i="7" s="1"/>
  <c r="AC15" i="7"/>
  <c r="AA15" i="7" s="1"/>
  <c r="Z15" i="7"/>
  <c r="E15" i="7"/>
  <c r="AC12" i="7"/>
  <c r="AA12" i="7" s="1"/>
  <c r="AE12" i="7" s="1"/>
  <c r="Z12" i="7"/>
  <c r="AC11" i="7"/>
  <c r="AA11" i="7" s="1"/>
  <c r="AE11" i="7" s="1"/>
  <c r="Z11" i="7"/>
  <c r="AC10" i="7"/>
  <c r="AA10" i="7" s="1"/>
  <c r="AE10" i="7" s="1"/>
  <c r="Z10" i="7"/>
  <c r="AC9" i="7"/>
  <c r="AA9" i="7" s="1"/>
  <c r="AE9" i="7" s="1"/>
  <c r="Z9" i="7"/>
  <c r="AC8" i="7"/>
  <c r="AA8" i="7" s="1"/>
  <c r="AE8" i="7" s="1"/>
  <c r="Z8" i="7"/>
  <c r="AC7" i="7"/>
  <c r="AA7" i="7" s="1"/>
  <c r="AE7" i="7" s="1"/>
  <c r="Z7" i="7"/>
  <c r="Q5" i="7"/>
  <c r="AC5" i="7" s="1"/>
  <c r="P5" i="7"/>
  <c r="Z5" i="7" s="1"/>
  <c r="E5" i="7"/>
  <c r="Q4" i="7"/>
  <c r="AC4" i="7" s="1"/>
  <c r="P4" i="7"/>
  <c r="Z4" i="7" s="1"/>
  <c r="E4" i="7"/>
  <c r="AF16" i="7" l="1"/>
  <c r="AF15" i="7"/>
  <c r="AF18" i="7"/>
  <c r="AF26" i="7"/>
  <c r="E76" i="7"/>
  <c r="AF24" i="7"/>
  <c r="AF17" i="7"/>
  <c r="AF70" i="7"/>
  <c r="AF20" i="7"/>
  <c r="AF67" i="7"/>
  <c r="AG76" i="7"/>
  <c r="AA76" i="7"/>
  <c r="AF76" i="7" s="1"/>
  <c r="AC77" i="7"/>
  <c r="AC78" i="7"/>
  <c r="AA79" i="7"/>
  <c r="AF79" i="7" s="1"/>
  <c r="AC80" i="7"/>
  <c r="E79" i="7"/>
  <c r="AB79" i="7"/>
  <c r="AD79" i="7" s="1"/>
  <c r="AD80" i="7"/>
  <c r="AD76" i="7"/>
  <c r="AB77" i="7"/>
  <c r="AD77" i="7" s="1"/>
  <c r="AB78" i="7"/>
  <c r="AD78" i="7" s="1"/>
  <c r="AG17" i="7"/>
  <c r="AF19" i="7"/>
  <c r="AG21" i="7"/>
  <c r="AF23" i="7"/>
  <c r="AG25" i="7"/>
  <c r="AF68" i="7"/>
  <c r="AB15" i="7"/>
  <c r="AH15" i="7" s="1"/>
  <c r="AG16" i="7"/>
  <c r="AH17" i="7"/>
  <c r="AB19" i="7"/>
  <c r="AH19" i="7" s="1"/>
  <c r="AG20" i="7"/>
  <c r="AA22" i="7"/>
  <c r="AF22" i="7" s="1"/>
  <c r="AG24" i="7"/>
  <c r="AB33" i="7"/>
  <c r="AH33" i="7" s="1"/>
  <c r="AG34" i="7"/>
  <c r="AB57" i="7"/>
  <c r="AG57" i="7" s="1"/>
  <c r="AG70" i="7"/>
  <c r="AH23" i="7"/>
  <c r="AH16" i="7"/>
  <c r="AB18" i="7"/>
  <c r="AH18" i="7" s="1"/>
  <c r="AH20" i="7"/>
  <c r="AA21" i="7"/>
  <c r="AF21" i="7" s="1"/>
  <c r="AB22" i="7"/>
  <c r="AG22" i="7" s="1"/>
  <c r="AG23" i="7"/>
  <c r="AH24" i="7"/>
  <c r="AA25" i="7"/>
  <c r="AF25" i="7" s="1"/>
  <c r="AB26" i="7"/>
  <c r="AH26" i="7" s="1"/>
  <c r="AH34" i="7"/>
  <c r="AB67" i="7"/>
  <c r="AD67" i="7" s="1"/>
  <c r="AH70" i="7"/>
  <c r="AE67" i="7"/>
  <c r="AE70" i="7"/>
  <c r="AB68" i="7"/>
  <c r="AD68" i="7" s="1"/>
  <c r="AD69" i="7"/>
  <c r="AA71" i="7"/>
  <c r="AE71" i="7" s="1"/>
  <c r="AD72" i="7"/>
  <c r="AG69" i="7"/>
  <c r="AG72" i="7"/>
  <c r="AA69" i="7"/>
  <c r="AF69" i="7" s="1"/>
  <c r="AD70" i="7"/>
  <c r="AB71" i="7"/>
  <c r="AG71" i="7" s="1"/>
  <c r="AA72" i="7"/>
  <c r="AF72" i="7" s="1"/>
  <c r="AA65" i="7"/>
  <c r="AF65" i="7" s="1"/>
  <c r="AC64" i="7"/>
  <c r="AB65" i="7"/>
  <c r="AG65" i="7" s="1"/>
  <c r="AD64" i="7"/>
  <c r="AF57" i="7"/>
  <c r="AB58" i="7"/>
  <c r="AH58" i="7" s="1"/>
  <c r="AF58" i="7"/>
  <c r="AB45" i="7"/>
  <c r="AG45" i="7" s="1"/>
  <c r="AF45" i="7"/>
  <c r="AB46" i="7"/>
  <c r="AH46" i="7" s="1"/>
  <c r="AF46" i="7"/>
  <c r="AB47" i="7"/>
  <c r="AG47" i="7" s="1"/>
  <c r="AF47" i="7"/>
  <c r="AB48" i="7"/>
  <c r="AH48" i="7" s="1"/>
  <c r="AF48" i="7"/>
  <c r="AB49" i="7"/>
  <c r="AH49" i="7" s="1"/>
  <c r="AF49" i="7"/>
  <c r="AB50" i="7"/>
  <c r="AG50" i="7" s="1"/>
  <c r="AF50" i="7"/>
  <c r="AB51" i="7"/>
  <c r="AG51" i="7" s="1"/>
  <c r="AF51" i="7"/>
  <c r="AB52" i="7"/>
  <c r="AG52" i="7" s="1"/>
  <c r="AF52" i="7"/>
  <c r="AD45" i="7"/>
  <c r="AD51" i="7"/>
  <c r="AA41" i="7"/>
  <c r="AF41" i="7" s="1"/>
  <c r="AG41" i="7"/>
  <c r="AG40" i="7"/>
  <c r="AA42" i="7"/>
  <c r="AE42" i="7" s="1"/>
  <c r="AA39" i="7"/>
  <c r="AF39" i="7" s="1"/>
  <c r="AD40" i="7"/>
  <c r="AB42" i="7"/>
  <c r="AB39" i="7"/>
  <c r="AG39" i="7" s="1"/>
  <c r="AA40" i="7"/>
  <c r="AF40" i="7" s="1"/>
  <c r="AD41" i="7"/>
  <c r="AB36" i="7"/>
  <c r="AG36" i="7" s="1"/>
  <c r="AF36" i="7"/>
  <c r="AB37" i="7"/>
  <c r="AH37" i="7" s="1"/>
  <c r="AF37" i="7"/>
  <c r="AF33" i="7"/>
  <c r="AF34" i="7"/>
  <c r="AD34" i="7"/>
  <c r="AE15" i="7"/>
  <c r="AE16" i="7"/>
  <c r="AE17" i="7"/>
  <c r="AE18" i="7"/>
  <c r="AE19" i="7"/>
  <c r="AE20" i="7"/>
  <c r="AE23" i="7"/>
  <c r="AE24" i="7"/>
  <c r="AE26" i="7"/>
  <c r="AD16" i="7"/>
  <c r="AD17" i="7"/>
  <c r="AD20" i="7"/>
  <c r="AD21" i="7"/>
  <c r="AD23" i="7"/>
  <c r="AD24" i="7"/>
  <c r="AD25" i="7"/>
  <c r="AB7" i="7"/>
  <c r="AG7" i="7" s="1"/>
  <c r="AF7" i="7"/>
  <c r="AB8" i="7"/>
  <c r="AH8" i="7" s="1"/>
  <c r="AF8" i="7"/>
  <c r="AB9" i="7"/>
  <c r="AH9" i="7" s="1"/>
  <c r="AF9" i="7"/>
  <c r="AB10" i="7"/>
  <c r="AH10" i="7" s="1"/>
  <c r="AF10" i="7"/>
  <c r="AB11" i="7"/>
  <c r="AG11" i="7" s="1"/>
  <c r="AF11" i="7"/>
  <c r="AB12" i="7"/>
  <c r="AH12" i="7" s="1"/>
  <c r="AF12" i="7"/>
  <c r="AD7" i="7"/>
  <c r="AA5" i="7"/>
  <c r="AA4" i="7"/>
  <c r="AB5" i="7"/>
  <c r="AG5" i="7" s="1"/>
  <c r="AB4" i="7"/>
  <c r="AG4" i="7" s="1"/>
  <c r="AE22" i="7" l="1"/>
  <c r="AD10" i="7"/>
  <c r="AD36" i="7"/>
  <c r="AE25" i="7"/>
  <c r="AE21" i="7"/>
  <c r="AH5" i="7"/>
  <c r="AG33" i="7"/>
  <c r="AG19" i="7"/>
  <c r="AD8" i="7"/>
  <c r="AD12" i="7"/>
  <c r="AG8" i="7"/>
  <c r="AG49" i="7"/>
  <c r="AH42" i="7"/>
  <c r="AD48" i="7"/>
  <c r="AF5" i="7"/>
  <c r="AG67" i="7"/>
  <c r="AH51" i="7"/>
  <c r="AD26" i="7"/>
  <c r="AD22" i="7"/>
  <c r="AD18" i="7"/>
  <c r="AD33" i="7"/>
  <c r="AH36" i="7"/>
  <c r="AD47" i="7"/>
  <c r="AH67" i="7"/>
  <c r="AD19" i="7"/>
  <c r="AH22" i="7"/>
  <c r="AE79" i="7"/>
  <c r="AH76" i="7"/>
  <c r="AE5" i="7"/>
  <c r="AD42" i="7"/>
  <c r="AF42" i="7"/>
  <c r="AH25" i="7"/>
  <c r="AG77" i="7"/>
  <c r="AG79" i="7"/>
  <c r="AA77" i="7"/>
  <c r="AF77" i="7" s="1"/>
  <c r="AE76" i="7"/>
  <c r="AG80" i="7"/>
  <c r="AH41" i="7"/>
  <c r="AA80" i="7"/>
  <c r="AF80" i="7" s="1"/>
  <c r="AH79" i="7"/>
  <c r="AE65" i="7"/>
  <c r="AG78" i="7"/>
  <c r="AA78" i="7"/>
  <c r="AD52" i="7"/>
  <c r="AG48" i="7"/>
  <c r="AH71" i="7"/>
  <c r="AG26" i="7"/>
  <c r="AH57" i="7"/>
  <c r="AH52" i="7"/>
  <c r="AD5" i="7"/>
  <c r="AD15" i="7"/>
  <c r="AG42" i="7"/>
  <c r="AH47" i="7"/>
  <c r="AD57" i="7"/>
  <c r="AD71" i="7"/>
  <c r="AF71" i="7"/>
  <c r="AE41" i="7"/>
  <c r="AD49" i="7"/>
  <c r="AG15" i="7"/>
  <c r="AG18" i="7"/>
  <c r="AH21" i="7"/>
  <c r="AH69" i="7"/>
  <c r="AE72" i="7"/>
  <c r="AH68" i="7"/>
  <c r="AG68" i="7"/>
  <c r="AE69" i="7"/>
  <c r="AH72" i="7"/>
  <c r="AD65" i="7"/>
  <c r="AG64" i="7"/>
  <c r="AH65" i="7"/>
  <c r="AA64" i="7"/>
  <c r="AF64" i="7" s="1"/>
  <c r="AD58" i="7"/>
  <c r="AG58" i="7"/>
  <c r="AH50" i="7"/>
  <c r="AD50" i="7"/>
  <c r="AD46" i="7"/>
  <c r="AG46" i="7"/>
  <c r="AH45" i="7"/>
  <c r="AD39" i="7"/>
  <c r="AH39" i="7"/>
  <c r="AE39" i="7"/>
  <c r="AH40" i="7"/>
  <c r="AE40" i="7"/>
  <c r="AG37" i="7"/>
  <c r="AD37" i="7"/>
  <c r="AH4" i="7"/>
  <c r="AD11" i="7"/>
  <c r="AG12" i="7"/>
  <c r="AG10" i="7"/>
  <c r="AG9" i="7"/>
  <c r="AD9" i="7"/>
  <c r="AH11" i="7"/>
  <c r="AH7" i="7"/>
  <c r="AE4" i="7"/>
  <c r="AF4" i="7"/>
  <c r="AD4" i="7"/>
  <c r="AH80" i="7" l="1"/>
  <c r="AH77" i="7"/>
  <c r="AH78" i="7"/>
  <c r="AF78" i="7"/>
  <c r="AE77" i="7"/>
  <c r="AE78" i="7"/>
  <c r="AE80" i="7"/>
  <c r="AE64" i="7"/>
  <c r="AH64" i="7"/>
  <c r="Z276" i="13" l="1"/>
  <c r="AB276" i="13" s="1"/>
  <c r="AD276" i="13" s="1"/>
  <c r="AC276" i="13"/>
  <c r="Z277" i="13"/>
  <c r="AB277" i="13" s="1"/>
  <c r="AC277" i="13"/>
  <c r="Z278" i="13"/>
  <c r="AB278" i="13" s="1"/>
  <c r="AC278" i="13"/>
  <c r="AA278" i="13" s="1"/>
  <c r="AE278" i="13" s="1"/>
  <c r="Z270" i="13"/>
  <c r="AB270" i="13" s="1"/>
  <c r="AC270" i="13"/>
  <c r="AA270" i="13" s="1"/>
  <c r="Z271" i="13"/>
  <c r="AB271" i="13" s="1"/>
  <c r="AD271" i="13" s="1"/>
  <c r="AC271" i="13"/>
  <c r="Z275" i="13"/>
  <c r="Z92" i="13"/>
  <c r="AB92" i="13" s="1"/>
  <c r="Z93" i="13"/>
  <c r="AB93" i="13" s="1"/>
  <c r="Z94" i="13"/>
  <c r="AB94" i="13" s="1"/>
  <c r="AD94" i="13" s="1"/>
  <c r="AC275" i="13"/>
  <c r="AA275" i="13" s="1"/>
  <c r="Z91" i="13"/>
  <c r="I94" i="13"/>
  <c r="AC94" i="13" s="1"/>
  <c r="I93" i="13"/>
  <c r="AC93" i="13" s="1"/>
  <c r="AA93" i="13" s="1"/>
  <c r="I92" i="13"/>
  <c r="AC92" i="13" s="1"/>
  <c r="AA92" i="13" s="1"/>
  <c r="AE92" i="13" s="1"/>
  <c r="I91" i="13"/>
  <c r="AC91" i="13" s="1"/>
  <c r="AG271" i="13" l="1"/>
  <c r="AG278" i="13"/>
  <c r="AG277" i="13"/>
  <c r="AA277" i="13"/>
  <c r="AH270" i="13"/>
  <c r="AH278" i="13"/>
  <c r="AG270" i="13"/>
  <c r="AD270" i="13"/>
  <c r="AG276" i="13"/>
  <c r="AD278" i="13"/>
  <c r="AA271" i="13"/>
  <c r="AF271" i="13" s="1"/>
  <c r="AF270" i="13"/>
  <c r="AD277" i="13"/>
  <c r="AA276" i="13"/>
  <c r="AF276" i="13" s="1"/>
  <c r="AE270" i="13"/>
  <c r="AF278" i="13"/>
  <c r="AF275" i="13"/>
  <c r="AE275" i="13"/>
  <c r="AB275" i="13"/>
  <c r="AG275" i="13" s="1"/>
  <c r="AG92" i="13"/>
  <c r="AH93" i="13"/>
  <c r="AD93" i="13"/>
  <c r="AG93" i="13"/>
  <c r="AG94" i="13"/>
  <c r="AH92" i="13"/>
  <c r="AD92" i="13"/>
  <c r="AA94" i="13"/>
  <c r="AF94" i="13" s="1"/>
  <c r="AF93" i="13"/>
  <c r="AE93" i="13"/>
  <c r="AF92" i="13"/>
  <c r="AA91" i="13"/>
  <c r="AF91" i="13" s="1"/>
  <c r="AB91" i="13"/>
  <c r="AG91" i="13" s="1"/>
  <c r="AE277" i="13" l="1"/>
  <c r="AF277" i="13"/>
  <c r="AH277" i="13"/>
  <c r="AE271" i="13"/>
  <c r="AH271" i="13"/>
  <c r="AE276" i="13"/>
  <c r="AH276" i="13"/>
  <c r="AD91" i="13"/>
  <c r="AD275" i="13"/>
  <c r="AH94" i="13"/>
  <c r="AH275" i="13"/>
  <c r="AE94" i="13"/>
  <c r="AE91" i="13"/>
  <c r="AH91" i="13"/>
  <c r="AC269" i="13" l="1"/>
  <c r="AA269" i="13" s="1"/>
  <c r="Z269" i="13"/>
  <c r="E269" i="13"/>
  <c r="D269" i="13"/>
  <c r="AC268" i="13"/>
  <c r="Z268" i="13"/>
  <c r="AB268" i="13" s="1"/>
  <c r="E268" i="13"/>
  <c r="D268" i="13"/>
  <c r="AC267" i="13"/>
  <c r="Z267" i="13"/>
  <c r="AB267" i="13" s="1"/>
  <c r="E267" i="13"/>
  <c r="D267" i="13"/>
  <c r="AC266" i="13"/>
  <c r="Z266" i="13"/>
  <c r="E266" i="13"/>
  <c r="D266" i="13"/>
  <c r="AC265" i="13"/>
  <c r="Z265" i="13"/>
  <c r="AB265" i="13" s="1"/>
  <c r="E265" i="13"/>
  <c r="D265" i="13"/>
  <c r="AC264" i="13"/>
  <c r="Z264" i="13"/>
  <c r="E264" i="13"/>
  <c r="D264" i="13"/>
  <c r="AC263" i="13"/>
  <c r="AA263" i="13" s="1"/>
  <c r="AE263" i="13" s="1"/>
  <c r="Z263" i="13"/>
  <c r="E263" i="13"/>
  <c r="D263" i="13"/>
  <c r="AC262" i="13"/>
  <c r="AA262" i="13" s="1"/>
  <c r="AE262" i="13" s="1"/>
  <c r="Z262" i="13"/>
  <c r="E262" i="13"/>
  <c r="D262" i="13"/>
  <c r="AC90" i="13"/>
  <c r="Z90" i="13"/>
  <c r="AB90" i="13" s="1"/>
  <c r="D90" i="13"/>
  <c r="AC89" i="13"/>
  <c r="Z89" i="13"/>
  <c r="AB89" i="13" s="1"/>
  <c r="D89" i="13"/>
  <c r="AC53" i="13"/>
  <c r="Z53" i="13"/>
  <c r="D53" i="13"/>
  <c r="AC52" i="13"/>
  <c r="Z52" i="13"/>
  <c r="D52" i="13"/>
  <c r="AC35" i="13"/>
  <c r="AA35" i="13" s="1"/>
  <c r="AE35" i="13" s="1"/>
  <c r="Z35" i="13"/>
  <c r="D35" i="13"/>
  <c r="AC34" i="13"/>
  <c r="AA34" i="13" s="1"/>
  <c r="AE34" i="13" s="1"/>
  <c r="Z34" i="13"/>
  <c r="D34" i="13"/>
  <c r="AC31" i="13"/>
  <c r="Z31" i="13"/>
  <c r="AB31" i="13" s="1"/>
  <c r="D31" i="13"/>
  <c r="AC30" i="13"/>
  <c r="AA30" i="13" s="1"/>
  <c r="Z30" i="13"/>
  <c r="AB30" i="13" s="1"/>
  <c r="D30" i="13"/>
  <c r="G11" i="14"/>
  <c r="G10" i="14"/>
  <c r="D84" i="7"/>
  <c r="Z84" i="7"/>
  <c r="AB84" i="7" s="1"/>
  <c r="AC84" i="7"/>
  <c r="AA84" i="7" s="1"/>
  <c r="D85" i="7"/>
  <c r="Z85" i="7"/>
  <c r="AB85" i="7" s="1"/>
  <c r="AC85" i="7"/>
  <c r="AA85" i="7" s="1"/>
  <c r="Z252" i="13"/>
  <c r="AB252" i="13" s="1"/>
  <c r="AD252" i="13" s="1"/>
  <c r="AC252" i="13"/>
  <c r="AC25" i="14"/>
  <c r="AA25" i="14" s="1"/>
  <c r="Z25" i="14"/>
  <c r="AB25" i="14" s="1"/>
  <c r="E25" i="14"/>
  <c r="D25" i="14"/>
  <c r="AC24" i="14"/>
  <c r="Z24" i="14"/>
  <c r="AB24" i="14" s="1"/>
  <c r="E24" i="14"/>
  <c r="D24" i="14"/>
  <c r="AC23" i="14"/>
  <c r="Z23" i="14"/>
  <c r="E23" i="14"/>
  <c r="D23" i="14"/>
  <c r="AC22" i="14"/>
  <c r="AA22" i="14" s="1"/>
  <c r="AE22" i="14" s="1"/>
  <c r="Z22" i="14"/>
  <c r="E22" i="14"/>
  <c r="D22" i="14"/>
  <c r="AF30" i="13" l="1"/>
  <c r="AF269" i="13"/>
  <c r="AF34" i="13"/>
  <c r="AF263" i="13"/>
  <c r="AG31" i="13"/>
  <c r="AG30" i="13"/>
  <c r="AH30" i="13"/>
  <c r="AA31" i="13"/>
  <c r="AF31" i="13" s="1"/>
  <c r="AB262" i="13"/>
  <c r="AH262" i="13" s="1"/>
  <c r="AB269" i="13"/>
  <c r="AH269" i="13" s="1"/>
  <c r="AE30" i="13"/>
  <c r="AE269" i="13"/>
  <c r="AG89" i="13"/>
  <c r="AG90" i="13"/>
  <c r="AF262" i="13"/>
  <c r="AG265" i="13"/>
  <c r="AA266" i="13"/>
  <c r="AE266" i="13" s="1"/>
  <c r="AD267" i="13"/>
  <c r="AG268" i="13"/>
  <c r="AG267" i="13"/>
  <c r="AB34" i="13"/>
  <c r="AH34" i="13" s="1"/>
  <c r="AB35" i="13"/>
  <c r="AG35" i="13" s="1"/>
  <c r="AF35" i="13"/>
  <c r="AA52" i="13"/>
  <c r="AE52" i="13" s="1"/>
  <c r="AA53" i="13"/>
  <c r="AF53" i="13" s="1"/>
  <c r="AD89" i="13"/>
  <c r="AD90" i="13"/>
  <c r="AB263" i="13"/>
  <c r="AD263" i="13" s="1"/>
  <c r="AA264" i="13"/>
  <c r="AE264" i="13" s="1"/>
  <c r="AD265" i="13"/>
  <c r="AB266" i="13"/>
  <c r="AG266" i="13" s="1"/>
  <c r="AA267" i="13"/>
  <c r="AF267" i="13" s="1"/>
  <c r="AD268" i="13"/>
  <c r="AD30" i="13"/>
  <c r="AD31" i="13"/>
  <c r="AB52" i="13"/>
  <c r="AD52" i="13" s="1"/>
  <c r="AB53" i="13"/>
  <c r="AG53" i="13" s="1"/>
  <c r="AA89" i="13"/>
  <c r="AF89" i="13" s="1"/>
  <c r="AA90" i="13"/>
  <c r="AF90" i="13" s="1"/>
  <c r="AB264" i="13"/>
  <c r="AG264" i="13" s="1"/>
  <c r="AA265" i="13"/>
  <c r="AF265" i="13" s="1"/>
  <c r="AA268" i="13"/>
  <c r="AF268" i="13" s="1"/>
  <c r="AG252" i="13"/>
  <c r="AH85" i="7"/>
  <c r="AD84" i="7"/>
  <c r="AG84" i="7"/>
  <c r="AG85" i="7"/>
  <c r="AD85" i="7"/>
  <c r="AH84" i="7"/>
  <c r="AF85" i="7"/>
  <c r="AF84" i="7"/>
  <c r="AE85" i="7"/>
  <c r="AE84" i="7"/>
  <c r="AF25" i="14"/>
  <c r="AF22" i="14"/>
  <c r="AH25" i="14"/>
  <c r="AG25" i="14"/>
  <c r="AA252" i="13"/>
  <c r="AF252" i="13" s="1"/>
  <c r="AE25" i="14"/>
  <c r="AG24" i="14"/>
  <c r="AB22" i="14"/>
  <c r="AG22" i="14" s="1"/>
  <c r="AA23" i="14"/>
  <c r="AF23" i="14" s="1"/>
  <c r="AD24" i="14"/>
  <c r="AB23" i="14"/>
  <c r="AD23" i="14" s="1"/>
  <c r="AA24" i="14"/>
  <c r="AF24" i="14" s="1"/>
  <c r="AD25" i="14"/>
  <c r="Z319" i="13"/>
  <c r="AB319" i="13" s="1"/>
  <c r="I319" i="13"/>
  <c r="E319" i="13" s="1"/>
  <c r="D319" i="13"/>
  <c r="AD262" i="13" l="1"/>
  <c r="AE31" i="13"/>
  <c r="AG262" i="13"/>
  <c r="AD269" i="13"/>
  <c r="AF52" i="13"/>
  <c r="AD35" i="13"/>
  <c r="AD264" i="13"/>
  <c r="AD53" i="13"/>
  <c r="AH35" i="13"/>
  <c r="AG269" i="13"/>
  <c r="AH31" i="13"/>
  <c r="AF264" i="13"/>
  <c r="AH266" i="13"/>
  <c r="AF266" i="13"/>
  <c r="AH265" i="13"/>
  <c r="AE90" i="13"/>
  <c r="AH267" i="13"/>
  <c r="AG34" i="13"/>
  <c r="AH90" i="13"/>
  <c r="AH263" i="13"/>
  <c r="AH52" i="13"/>
  <c r="AG52" i="13"/>
  <c r="AE268" i="13"/>
  <c r="AH89" i="13"/>
  <c r="AG263" i="13"/>
  <c r="AH268" i="13"/>
  <c r="AE89" i="13"/>
  <c r="AH53" i="13"/>
  <c r="AE53" i="13"/>
  <c r="AD266" i="13"/>
  <c r="AH264" i="13"/>
  <c r="AD34" i="13"/>
  <c r="AE265" i="13"/>
  <c r="AE267" i="13"/>
  <c r="AH24" i="14"/>
  <c r="AE23" i="14"/>
  <c r="AE252" i="13"/>
  <c r="AH252" i="13"/>
  <c r="AH23" i="14"/>
  <c r="AG23" i="14"/>
  <c r="AD22" i="14"/>
  <c r="AH22" i="14"/>
  <c r="AE24" i="14"/>
  <c r="AC319" i="13"/>
  <c r="AA319" i="13" s="1"/>
  <c r="AF319" i="13" s="1"/>
  <c r="AD319" i="13"/>
  <c r="Z83" i="7"/>
  <c r="I83" i="7"/>
  <c r="AC83" i="7" s="1"/>
  <c r="D83" i="7"/>
  <c r="AC63" i="7"/>
  <c r="AA63" i="7" s="1"/>
  <c r="Z63" i="7"/>
  <c r="AB63" i="7" s="1"/>
  <c r="AD63" i="7" s="1"/>
  <c r="D63" i="7"/>
  <c r="AC21" i="14"/>
  <c r="AA21" i="14" s="1"/>
  <c r="AE21" i="14" s="1"/>
  <c r="Z21" i="14"/>
  <c r="D21" i="14"/>
  <c r="A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Z10" i="14"/>
  <c r="AC10" i="14"/>
  <c r="D10" i="14"/>
  <c r="Z9" i="14"/>
  <c r="AB9" i="14" s="1"/>
  <c r="E9" i="14"/>
  <c r="D9" i="14"/>
  <c r="Z8" i="14"/>
  <c r="AC8" i="14"/>
  <c r="D8" i="14"/>
  <c r="Z7" i="14"/>
  <c r="AB7" i="14" s="1"/>
  <c r="E7" i="14"/>
  <c r="D7" i="14"/>
  <c r="Z6" i="14"/>
  <c r="AC6" i="14"/>
  <c r="D6" i="14"/>
  <c r="AC5" i="14"/>
  <c r="AA5" i="14" s="1"/>
  <c r="AE5" i="14" s="1"/>
  <c r="Z5" i="14"/>
  <c r="D5" i="14"/>
  <c r="AC4" i="14"/>
  <c r="Z4" i="14"/>
  <c r="D4" i="14"/>
  <c r="Z181" i="13"/>
  <c r="AB181" i="13" s="1"/>
  <c r="I181" i="13"/>
  <c r="D181" i="13"/>
  <c r="Z180" i="13"/>
  <c r="I180" i="13"/>
  <c r="AC180" i="13" s="1"/>
  <c r="D180" i="13"/>
  <c r="Z179" i="13"/>
  <c r="AB179" i="13" s="1"/>
  <c r="I179" i="13"/>
  <c r="AC179" i="13" s="1"/>
  <c r="AA179" i="13" s="1"/>
  <c r="D179" i="13"/>
  <c r="Z178" i="13"/>
  <c r="I178" i="13"/>
  <c r="D178" i="13"/>
  <c r="Z177" i="13"/>
  <c r="I177" i="13"/>
  <c r="AC177" i="13" s="1"/>
  <c r="AA177" i="13" s="1"/>
  <c r="D177" i="13"/>
  <c r="Z176" i="13"/>
  <c r="I176" i="13"/>
  <c r="AC176" i="13" s="1"/>
  <c r="D176" i="13"/>
  <c r="Z175" i="13"/>
  <c r="AB175" i="13" s="1"/>
  <c r="I175" i="13"/>
  <c r="AC175" i="13" s="1"/>
  <c r="D175" i="13"/>
  <c r="Z174" i="13"/>
  <c r="I174" i="13"/>
  <c r="AC174" i="13" s="1"/>
  <c r="D174" i="13"/>
  <c r="Z173" i="13"/>
  <c r="AB173" i="13" s="1"/>
  <c r="I173" i="13"/>
  <c r="AC173" i="13" s="1"/>
  <c r="D173" i="13"/>
  <c r="Z172" i="13"/>
  <c r="I172" i="13"/>
  <c r="AC172" i="13" s="1"/>
  <c r="D172" i="13"/>
  <c r="Z171" i="13"/>
  <c r="AB171" i="13" s="1"/>
  <c r="I171" i="13"/>
  <c r="AC171" i="13" s="1"/>
  <c r="D171" i="13"/>
  <c r="Z170" i="13"/>
  <c r="I170" i="13"/>
  <c r="D170" i="13"/>
  <c r="Z169" i="13"/>
  <c r="I169" i="13"/>
  <c r="D169" i="13"/>
  <c r="Z168" i="13"/>
  <c r="I168" i="13"/>
  <c r="AC168" i="13" s="1"/>
  <c r="D168" i="13"/>
  <c r="Z167" i="13"/>
  <c r="AB167" i="13" s="1"/>
  <c r="I167" i="13"/>
  <c r="AC167" i="13" s="1"/>
  <c r="D167" i="13"/>
  <c r="Z166" i="13"/>
  <c r="I166" i="13"/>
  <c r="AC166" i="13" s="1"/>
  <c r="D166" i="13"/>
  <c r="Z165" i="13"/>
  <c r="AB165" i="13" s="1"/>
  <c r="I165" i="13"/>
  <c r="D165" i="13"/>
  <c r="Z164" i="13"/>
  <c r="I164" i="13"/>
  <c r="AC164" i="13" s="1"/>
  <c r="D164" i="13"/>
  <c r="AC307" i="13"/>
  <c r="AA307" i="13" s="1"/>
  <c r="Z307" i="13"/>
  <c r="E307" i="13"/>
  <c r="D307" i="13"/>
  <c r="AC306" i="13"/>
  <c r="Z306" i="13"/>
  <c r="AB306" i="13" s="1"/>
  <c r="E306" i="13"/>
  <c r="D306" i="13"/>
  <c r="AC159" i="13"/>
  <c r="Z159" i="13"/>
  <c r="E159" i="13"/>
  <c r="D159" i="13"/>
  <c r="AC158" i="13"/>
  <c r="Z158" i="13"/>
  <c r="E158" i="13"/>
  <c r="D158" i="13"/>
  <c r="AC157" i="13"/>
  <c r="Z157" i="13"/>
  <c r="AB157" i="13" s="1"/>
  <c r="E157" i="13"/>
  <c r="D157" i="13"/>
  <c r="AC156" i="13"/>
  <c r="Z156" i="13"/>
  <c r="AB156" i="13" s="1"/>
  <c r="E156" i="13"/>
  <c r="D156" i="13"/>
  <c r="AC155" i="13"/>
  <c r="Z155" i="13"/>
  <c r="E155" i="13"/>
  <c r="D155" i="13"/>
  <c r="AC154" i="13"/>
  <c r="Z154" i="13"/>
  <c r="E154" i="13"/>
  <c r="D154" i="13"/>
  <c r="AC153" i="13"/>
  <c r="AA153" i="13" s="1"/>
  <c r="Z153" i="13"/>
  <c r="AB153" i="13" s="1"/>
  <c r="E153" i="13"/>
  <c r="D153" i="13"/>
  <c r="AC152" i="13"/>
  <c r="Z152" i="13"/>
  <c r="AB152" i="13" s="1"/>
  <c r="E152" i="13"/>
  <c r="D152" i="13"/>
  <c r="AC151" i="13"/>
  <c r="Z151" i="13"/>
  <c r="E151" i="13"/>
  <c r="D151" i="13"/>
  <c r="AC150" i="13"/>
  <c r="Z150" i="13"/>
  <c r="E150" i="13"/>
  <c r="D150" i="13"/>
  <c r="AC149" i="13"/>
  <c r="Z149" i="13"/>
  <c r="E149" i="13"/>
  <c r="D149" i="13"/>
  <c r="AC148" i="13"/>
  <c r="Z148" i="13"/>
  <c r="E148" i="13"/>
  <c r="D148" i="13"/>
  <c r="AC135" i="13"/>
  <c r="Z135" i="13"/>
  <c r="AB135" i="13" s="1"/>
  <c r="E135" i="13"/>
  <c r="D135" i="13"/>
  <c r="AC134" i="13"/>
  <c r="Z134" i="13"/>
  <c r="E134" i="13"/>
  <c r="D134" i="13"/>
  <c r="AC133" i="13"/>
  <c r="AA133" i="13" s="1"/>
  <c r="AE133" i="13" s="1"/>
  <c r="Z133" i="13"/>
  <c r="AB133" i="13" s="1"/>
  <c r="E133" i="13"/>
  <c r="D133" i="13"/>
  <c r="AC132" i="13"/>
  <c r="AA132" i="13" s="1"/>
  <c r="Z132" i="13"/>
  <c r="E132" i="13"/>
  <c r="D132" i="13"/>
  <c r="AC115" i="13"/>
  <c r="Z115" i="13"/>
  <c r="E115" i="13"/>
  <c r="D115" i="13"/>
  <c r="AC114" i="13"/>
  <c r="AA114" i="13" s="1"/>
  <c r="Z114" i="13"/>
  <c r="E114" i="13"/>
  <c r="D114" i="13"/>
  <c r="AC113" i="13"/>
  <c r="AA113" i="13" s="1"/>
  <c r="Z113" i="13"/>
  <c r="E113" i="13"/>
  <c r="D113" i="13"/>
  <c r="AC112" i="13"/>
  <c r="AA112" i="13" s="1"/>
  <c r="Z112" i="13"/>
  <c r="AB112" i="13" s="1"/>
  <c r="E112" i="13"/>
  <c r="D112" i="13"/>
  <c r="AC111" i="13"/>
  <c r="Z111" i="13"/>
  <c r="AB111" i="13" s="1"/>
  <c r="E111" i="13"/>
  <c r="D111" i="13"/>
  <c r="AC110" i="13"/>
  <c r="Z110" i="13"/>
  <c r="E110" i="13"/>
  <c r="D110" i="13"/>
  <c r="Z331" i="13"/>
  <c r="AB331" i="13" s="1"/>
  <c r="AD331" i="13" s="1"/>
  <c r="I331" i="13"/>
  <c r="D331" i="13"/>
  <c r="Z330" i="13"/>
  <c r="I330" i="13"/>
  <c r="AC330" i="13" s="1"/>
  <c r="D330" i="13"/>
  <c r="Z329" i="13"/>
  <c r="I329" i="13"/>
  <c r="AC329" i="13" s="1"/>
  <c r="D329" i="13"/>
  <c r="Z328" i="13"/>
  <c r="AB328" i="13" s="1"/>
  <c r="I328" i="13"/>
  <c r="AC328" i="13" s="1"/>
  <c r="D328" i="13"/>
  <c r="Z327" i="13"/>
  <c r="AB327" i="13" s="1"/>
  <c r="I327" i="13"/>
  <c r="AC327" i="13" s="1"/>
  <c r="D327" i="13"/>
  <c r="Z326" i="13"/>
  <c r="I326" i="13"/>
  <c r="AC326" i="13" s="1"/>
  <c r="D326" i="13"/>
  <c r="Z325" i="13"/>
  <c r="I325" i="13"/>
  <c r="AC325" i="13" s="1"/>
  <c r="D325" i="13"/>
  <c r="Z324" i="13"/>
  <c r="AB324" i="13" s="1"/>
  <c r="I324" i="13"/>
  <c r="AC324" i="13" s="1"/>
  <c r="D324" i="13"/>
  <c r="Z323" i="13"/>
  <c r="AB323" i="13" s="1"/>
  <c r="I323" i="13"/>
  <c r="AC323" i="13" s="1"/>
  <c r="D323" i="13"/>
  <c r="Z322" i="13"/>
  <c r="I322" i="13"/>
  <c r="AC322" i="13" s="1"/>
  <c r="D322" i="13"/>
  <c r="Z321" i="13"/>
  <c r="I321" i="13"/>
  <c r="D321" i="13"/>
  <c r="Z320" i="13"/>
  <c r="AB320" i="13" s="1"/>
  <c r="I320" i="13"/>
  <c r="AC320" i="13" s="1"/>
  <c r="D320" i="13"/>
  <c r="Z318" i="13"/>
  <c r="AB318" i="13" s="1"/>
  <c r="I318" i="13"/>
  <c r="D318" i="13"/>
  <c r="AC317" i="13"/>
  <c r="AA317" i="13" s="1"/>
  <c r="Z317" i="13"/>
  <c r="E317" i="13"/>
  <c r="D317" i="13"/>
  <c r="AC316" i="13"/>
  <c r="AA316" i="13" s="1"/>
  <c r="Z316" i="13"/>
  <c r="AB316" i="13" s="1"/>
  <c r="E316" i="13"/>
  <c r="D316" i="13"/>
  <c r="AC315" i="13"/>
  <c r="Z315" i="13"/>
  <c r="AB315" i="13" s="1"/>
  <c r="E315" i="13"/>
  <c r="D315" i="13"/>
  <c r="AC314" i="13"/>
  <c r="Z314" i="13"/>
  <c r="E314" i="13"/>
  <c r="D314" i="13"/>
  <c r="AC313" i="13"/>
  <c r="AA313" i="13" s="1"/>
  <c r="AE313" i="13" s="1"/>
  <c r="Z313" i="13"/>
  <c r="E313" i="13"/>
  <c r="D313" i="13"/>
  <c r="AC312" i="13"/>
  <c r="Z312" i="13"/>
  <c r="AB312" i="13" s="1"/>
  <c r="E312" i="13"/>
  <c r="D312" i="13"/>
  <c r="AC311" i="13"/>
  <c r="Z311" i="13"/>
  <c r="D311" i="13"/>
  <c r="AC310" i="13"/>
  <c r="Z310" i="13"/>
  <c r="D310" i="13"/>
  <c r="AC309" i="13"/>
  <c r="Z309" i="13"/>
  <c r="D309" i="13"/>
  <c r="AC308" i="13"/>
  <c r="Z308" i="13"/>
  <c r="D308" i="13"/>
  <c r="AH305" i="13"/>
  <c r="AG305" i="13"/>
  <c r="AF305" i="13"/>
  <c r="AE305" i="13"/>
  <c r="AD305" i="13"/>
  <c r="I305" i="13"/>
  <c r="E305" i="13" s="1"/>
  <c r="D305" i="13"/>
  <c r="AH304" i="13"/>
  <c r="AG304" i="13"/>
  <c r="AF304" i="13"/>
  <c r="AE304" i="13"/>
  <c r="AD304" i="13"/>
  <c r="I304" i="13"/>
  <c r="E304" i="13" s="1"/>
  <c r="D304" i="13"/>
  <c r="AC303" i="13"/>
  <c r="AA303" i="13" s="1"/>
  <c r="Z303" i="13"/>
  <c r="AB303" i="13" s="1"/>
  <c r="E303" i="13"/>
  <c r="D303" i="13"/>
  <c r="AC302" i="13"/>
  <c r="Z302" i="13"/>
  <c r="AB302" i="13" s="1"/>
  <c r="E302" i="13"/>
  <c r="D302" i="13"/>
  <c r="AC301" i="13"/>
  <c r="Z301" i="13"/>
  <c r="E301" i="13"/>
  <c r="D301" i="13"/>
  <c r="AC300" i="13"/>
  <c r="Z300" i="13"/>
  <c r="E300" i="13"/>
  <c r="D300" i="13"/>
  <c r="AC299" i="13"/>
  <c r="AA299" i="13" s="1"/>
  <c r="AE299" i="13" s="1"/>
  <c r="Z299" i="13"/>
  <c r="AB299" i="13" s="1"/>
  <c r="E299" i="13"/>
  <c r="D299" i="13"/>
  <c r="AC298" i="13"/>
  <c r="AA298" i="13" s="1"/>
  <c r="AE298" i="13" s="1"/>
  <c r="Z298" i="13"/>
  <c r="AB298" i="13" s="1"/>
  <c r="E298" i="13"/>
  <c r="D298" i="13"/>
  <c r="AC297" i="13"/>
  <c r="Z297" i="13"/>
  <c r="E297" i="13"/>
  <c r="D297" i="13"/>
  <c r="AC296" i="13"/>
  <c r="Z296" i="13"/>
  <c r="E296" i="13"/>
  <c r="D296" i="13"/>
  <c r="AC295" i="13"/>
  <c r="AA295" i="13" s="1"/>
  <c r="AE295" i="13" s="1"/>
  <c r="Z295" i="13"/>
  <c r="E295" i="13"/>
  <c r="D295" i="13"/>
  <c r="AC294" i="13"/>
  <c r="Z294" i="13"/>
  <c r="AB294" i="13" s="1"/>
  <c r="E294" i="13"/>
  <c r="D294" i="13"/>
  <c r="AC293" i="13"/>
  <c r="Z293" i="13"/>
  <c r="AB293" i="13" s="1"/>
  <c r="E293" i="13"/>
  <c r="D293" i="13"/>
  <c r="AC292" i="13"/>
  <c r="Z292" i="13"/>
  <c r="E292" i="13"/>
  <c r="D292" i="13"/>
  <c r="AC291" i="13"/>
  <c r="AA291" i="13" s="1"/>
  <c r="AE291" i="13" s="1"/>
  <c r="Z291" i="13"/>
  <c r="E291" i="13"/>
  <c r="D291" i="13"/>
  <c r="AC290" i="13"/>
  <c r="Z290" i="13"/>
  <c r="AB290" i="13" s="1"/>
  <c r="E290" i="13"/>
  <c r="D290" i="13"/>
  <c r="AC289" i="13"/>
  <c r="Z289" i="13"/>
  <c r="E289" i="13"/>
  <c r="D289" i="13"/>
  <c r="AC288" i="13"/>
  <c r="AA288" i="13" s="1"/>
  <c r="Z288" i="13"/>
  <c r="E288" i="13"/>
  <c r="D288" i="13"/>
  <c r="AC287" i="13"/>
  <c r="AA287" i="13" s="1"/>
  <c r="Z287" i="13"/>
  <c r="AB287" i="13" s="1"/>
  <c r="E287" i="13"/>
  <c r="D287" i="13"/>
  <c r="AC286" i="13"/>
  <c r="AA286" i="13" s="1"/>
  <c r="Z286" i="13"/>
  <c r="E286" i="13"/>
  <c r="D286" i="13"/>
  <c r="AC285" i="13"/>
  <c r="Z285" i="13"/>
  <c r="E285" i="13"/>
  <c r="D285" i="13"/>
  <c r="AC284" i="13"/>
  <c r="AA284" i="13" s="1"/>
  <c r="AE284" i="13" s="1"/>
  <c r="Z284" i="13"/>
  <c r="AB284" i="13" s="1"/>
  <c r="E284" i="13"/>
  <c r="D284" i="13"/>
  <c r="AC283" i="13"/>
  <c r="AA283" i="13" s="1"/>
  <c r="AE283" i="13" s="1"/>
  <c r="Z283" i="13"/>
  <c r="AB283" i="13" s="1"/>
  <c r="E283" i="13"/>
  <c r="D283" i="13"/>
  <c r="AC282" i="13"/>
  <c r="Z282" i="13"/>
  <c r="E282" i="13"/>
  <c r="D282" i="13"/>
  <c r="AC281" i="13"/>
  <c r="Z281" i="13"/>
  <c r="E281" i="13"/>
  <c r="D281" i="13"/>
  <c r="AC280" i="13"/>
  <c r="AA280" i="13" s="1"/>
  <c r="AE280" i="13" s="1"/>
  <c r="Z280" i="13"/>
  <c r="E280" i="13"/>
  <c r="D280" i="13"/>
  <c r="AC279" i="13"/>
  <c r="Z279" i="13"/>
  <c r="AB279" i="13" s="1"/>
  <c r="E279" i="13"/>
  <c r="D279" i="13"/>
  <c r="AC274" i="13"/>
  <c r="Z274" i="13"/>
  <c r="AB274" i="13" s="1"/>
  <c r="E274" i="13"/>
  <c r="D274" i="13"/>
  <c r="AC273" i="13"/>
  <c r="Z273" i="13"/>
  <c r="E273" i="13"/>
  <c r="D273" i="13"/>
  <c r="AC272" i="13"/>
  <c r="Z272" i="13"/>
  <c r="AB272" i="13" s="1"/>
  <c r="E272" i="13"/>
  <c r="D272" i="13"/>
  <c r="Z261" i="13"/>
  <c r="I261" i="13"/>
  <c r="AC261" i="13" s="1"/>
  <c r="D261" i="13"/>
  <c r="Z260" i="13"/>
  <c r="AB260" i="13" s="1"/>
  <c r="I260" i="13"/>
  <c r="AC260" i="13" s="1"/>
  <c r="D260" i="13"/>
  <c r="Z259" i="13"/>
  <c r="AB259" i="13" s="1"/>
  <c r="I259" i="13"/>
  <c r="AC259" i="13" s="1"/>
  <c r="D259" i="13"/>
  <c r="Z258" i="13"/>
  <c r="I258" i="13"/>
  <c r="AC258" i="13" s="1"/>
  <c r="D258" i="13"/>
  <c r="Z257" i="13"/>
  <c r="AB257" i="13" s="1"/>
  <c r="I257" i="13"/>
  <c r="AC257" i="13" s="1"/>
  <c r="D257" i="13"/>
  <c r="Z256" i="13"/>
  <c r="I256" i="13"/>
  <c r="AC256" i="13" s="1"/>
  <c r="D256" i="13"/>
  <c r="Z255" i="13"/>
  <c r="I255" i="13"/>
  <c r="AC255" i="13" s="1"/>
  <c r="D255" i="13"/>
  <c r="Z254" i="13"/>
  <c r="AB254" i="13" s="1"/>
  <c r="I254" i="13"/>
  <c r="AC254" i="13" s="1"/>
  <c r="D254" i="13"/>
  <c r="AC253" i="13"/>
  <c r="Z253" i="13"/>
  <c r="E253" i="13"/>
  <c r="D253" i="13"/>
  <c r="E252" i="13"/>
  <c r="D252" i="13"/>
  <c r="AC251" i="13"/>
  <c r="Z251" i="13"/>
  <c r="AB251" i="13" s="1"/>
  <c r="E251" i="13"/>
  <c r="D251" i="13"/>
  <c r="AC250" i="13"/>
  <c r="AA250" i="13" s="1"/>
  <c r="AE250" i="13" s="1"/>
  <c r="Z250" i="13"/>
  <c r="E250" i="13"/>
  <c r="D250" i="13"/>
  <c r="AC249" i="13"/>
  <c r="Z249" i="13"/>
  <c r="AB249" i="13" s="1"/>
  <c r="E249" i="13"/>
  <c r="D249" i="13"/>
  <c r="AC248" i="13"/>
  <c r="Z248" i="13"/>
  <c r="E248" i="13"/>
  <c r="D248" i="13"/>
  <c r="AC247" i="13"/>
  <c r="Z247" i="13"/>
  <c r="AB247" i="13" s="1"/>
  <c r="E247" i="13"/>
  <c r="D247" i="13"/>
  <c r="AC246" i="13"/>
  <c r="AA246" i="13" s="1"/>
  <c r="Z246" i="13"/>
  <c r="E246" i="13"/>
  <c r="D246" i="13"/>
  <c r="AC245" i="13"/>
  <c r="AA245" i="13" s="1"/>
  <c r="Z245" i="13"/>
  <c r="AB245" i="13" s="1"/>
  <c r="E245" i="13"/>
  <c r="D245" i="13"/>
  <c r="AC244" i="13"/>
  <c r="Z244" i="13"/>
  <c r="E244" i="13"/>
  <c r="D244" i="13"/>
  <c r="AC243" i="13"/>
  <c r="AA243" i="13" s="1"/>
  <c r="AE243" i="13" s="1"/>
  <c r="Z243" i="13"/>
  <c r="E243" i="13"/>
  <c r="D243" i="13"/>
  <c r="AC242" i="13"/>
  <c r="Z242" i="13"/>
  <c r="AB242" i="13" s="1"/>
  <c r="E242" i="13"/>
  <c r="D242" i="13"/>
  <c r="AC241" i="13"/>
  <c r="Z241" i="13"/>
  <c r="E241" i="13"/>
  <c r="D241" i="13"/>
  <c r="AC240" i="13"/>
  <c r="Z240" i="13"/>
  <c r="E240" i="13"/>
  <c r="D240" i="13"/>
  <c r="AC239" i="13"/>
  <c r="AA239" i="13" s="1"/>
  <c r="AE239" i="13" s="1"/>
  <c r="Z239" i="13"/>
  <c r="E239" i="13"/>
  <c r="D239" i="13"/>
  <c r="AC238" i="13"/>
  <c r="Z238" i="13"/>
  <c r="AB238" i="13" s="1"/>
  <c r="E238" i="13"/>
  <c r="D238" i="13"/>
  <c r="AC237" i="13"/>
  <c r="Z237" i="13"/>
  <c r="D237" i="13"/>
  <c r="AC236" i="13"/>
  <c r="Z236" i="13"/>
  <c r="D236" i="13"/>
  <c r="AC235" i="13"/>
  <c r="Z235" i="13"/>
  <c r="D235" i="13"/>
  <c r="AC234" i="13"/>
  <c r="Z234" i="13"/>
  <c r="D234" i="13"/>
  <c r="AC233" i="13"/>
  <c r="Z233" i="13"/>
  <c r="D233" i="13"/>
  <c r="AC232" i="13"/>
  <c r="AA232" i="13" s="1"/>
  <c r="AE232" i="13" s="1"/>
  <c r="Z232" i="13"/>
  <c r="AB232" i="13" s="1"/>
  <c r="E232" i="13"/>
  <c r="D232" i="13"/>
  <c r="AC231" i="13"/>
  <c r="Z231" i="13"/>
  <c r="E231" i="13"/>
  <c r="D231" i="13"/>
  <c r="AC230" i="13"/>
  <c r="AA230" i="13" s="1"/>
  <c r="Z230" i="13"/>
  <c r="E230" i="13"/>
  <c r="D230" i="13"/>
  <c r="AC229" i="13"/>
  <c r="Z229" i="13"/>
  <c r="AB229" i="13" s="1"/>
  <c r="E229" i="13"/>
  <c r="D229" i="13"/>
  <c r="AC228" i="13"/>
  <c r="Z228" i="13"/>
  <c r="E228" i="13"/>
  <c r="D228" i="13"/>
  <c r="AC227" i="13"/>
  <c r="AA227" i="13" s="1"/>
  <c r="AE227" i="13" s="1"/>
  <c r="Z227" i="13"/>
  <c r="AB227" i="13" s="1"/>
  <c r="E227" i="13"/>
  <c r="D227" i="13"/>
  <c r="AC226" i="13"/>
  <c r="Z226" i="13"/>
  <c r="AB226" i="13" s="1"/>
  <c r="E226" i="13"/>
  <c r="D226" i="13"/>
  <c r="AC225" i="13"/>
  <c r="AA225" i="13" s="1"/>
  <c r="AE225" i="13" s="1"/>
  <c r="Z225" i="13"/>
  <c r="E225" i="13"/>
  <c r="D225" i="13"/>
  <c r="AC224" i="13"/>
  <c r="AA224" i="13" s="1"/>
  <c r="AE224" i="13" s="1"/>
  <c r="Z224" i="13"/>
  <c r="AB224" i="13" s="1"/>
  <c r="E224" i="13"/>
  <c r="D224" i="13"/>
  <c r="AC223" i="13"/>
  <c r="Z223" i="13"/>
  <c r="E223" i="13"/>
  <c r="D223" i="13"/>
  <c r="AC222" i="13"/>
  <c r="AA222" i="13" s="1"/>
  <c r="AE222" i="13" s="1"/>
  <c r="Z222" i="13"/>
  <c r="E222" i="13"/>
  <c r="D222" i="13"/>
  <c r="AC221" i="13"/>
  <c r="Z221" i="13"/>
  <c r="AB221" i="13" s="1"/>
  <c r="E221" i="13"/>
  <c r="D221" i="13"/>
  <c r="AC220" i="13"/>
  <c r="Z220" i="13"/>
  <c r="E220" i="13"/>
  <c r="D220" i="13"/>
  <c r="AC219" i="13"/>
  <c r="AA219" i="13" s="1"/>
  <c r="AE219" i="13" s="1"/>
  <c r="Z219" i="13"/>
  <c r="E219" i="13"/>
  <c r="D219" i="13"/>
  <c r="AC218" i="13"/>
  <c r="Z218" i="13"/>
  <c r="AB218" i="13" s="1"/>
  <c r="E218" i="13"/>
  <c r="D218" i="13"/>
  <c r="AC217" i="13"/>
  <c r="AA217" i="13" s="1"/>
  <c r="AE217" i="13" s="1"/>
  <c r="Z217" i="13"/>
  <c r="E217" i="13"/>
  <c r="D217" i="13"/>
  <c r="AC216" i="13"/>
  <c r="AA216" i="13" s="1"/>
  <c r="AE216" i="13" s="1"/>
  <c r="Z216" i="13"/>
  <c r="AB216" i="13" s="1"/>
  <c r="E216" i="13"/>
  <c r="D216" i="13"/>
  <c r="Q215" i="13"/>
  <c r="AC215" i="13" s="1"/>
  <c r="P215" i="13"/>
  <c r="Z215" i="13" s="1"/>
  <c r="E215" i="13"/>
  <c r="D215" i="13"/>
  <c r="Z214" i="13"/>
  <c r="AB214" i="13" s="1"/>
  <c r="I214" i="13"/>
  <c r="AC214" i="13" s="1"/>
  <c r="D214" i="13"/>
  <c r="Z213" i="13"/>
  <c r="I213" i="13"/>
  <c r="AC213" i="13" s="1"/>
  <c r="D213" i="13"/>
  <c r="AC212" i="13"/>
  <c r="AA212" i="13" s="1"/>
  <c r="AE212" i="13" s="1"/>
  <c r="Z212" i="13"/>
  <c r="AB212" i="13" s="1"/>
  <c r="E212" i="13"/>
  <c r="D212" i="13"/>
  <c r="AC211" i="13"/>
  <c r="Z211" i="13"/>
  <c r="E211" i="13"/>
  <c r="D211" i="13"/>
  <c r="Z210" i="13"/>
  <c r="I210" i="13"/>
  <c r="AC210" i="13" s="1"/>
  <c r="D210" i="13"/>
  <c r="Z209" i="13"/>
  <c r="AB209" i="13" s="1"/>
  <c r="I209" i="13"/>
  <c r="AC209" i="13" s="1"/>
  <c r="D209" i="13"/>
  <c r="Z208" i="13"/>
  <c r="AB208" i="13" s="1"/>
  <c r="I208" i="13"/>
  <c r="AC208" i="13" s="1"/>
  <c r="D208" i="13"/>
  <c r="Z207" i="13"/>
  <c r="I207" i="13"/>
  <c r="AC207" i="13" s="1"/>
  <c r="D207" i="13"/>
  <c r="Z206" i="13"/>
  <c r="I206" i="13"/>
  <c r="AC206" i="13" s="1"/>
  <c r="D206" i="13"/>
  <c r="Z205" i="13"/>
  <c r="AB205" i="13" s="1"/>
  <c r="I205" i="13"/>
  <c r="D205" i="13"/>
  <c r="Z204" i="13"/>
  <c r="I204" i="13"/>
  <c r="AC204" i="13" s="1"/>
  <c r="D204" i="13"/>
  <c r="Z203" i="13"/>
  <c r="AB203" i="13" s="1"/>
  <c r="I203" i="13"/>
  <c r="AC203" i="13" s="1"/>
  <c r="D203" i="13"/>
  <c r="Z202" i="13"/>
  <c r="I202" i="13"/>
  <c r="AC202" i="13" s="1"/>
  <c r="D202" i="13"/>
  <c r="Z201" i="13"/>
  <c r="AB201" i="13" s="1"/>
  <c r="I201" i="13"/>
  <c r="D201" i="13"/>
  <c r="Z200" i="13"/>
  <c r="I200" i="13"/>
  <c r="AC200" i="13" s="1"/>
  <c r="D200" i="13"/>
  <c r="Z199" i="13"/>
  <c r="AB199" i="13" s="1"/>
  <c r="I199" i="13"/>
  <c r="AC199" i="13" s="1"/>
  <c r="D199" i="13"/>
  <c r="Z198" i="13"/>
  <c r="I198" i="13"/>
  <c r="AC198" i="13" s="1"/>
  <c r="D198" i="13"/>
  <c r="Z197" i="13"/>
  <c r="AB197" i="13" s="1"/>
  <c r="I197" i="13"/>
  <c r="D197" i="13"/>
  <c r="Z196" i="13"/>
  <c r="I196" i="13"/>
  <c r="AC196" i="13" s="1"/>
  <c r="D196" i="13"/>
  <c r="Z195" i="13"/>
  <c r="AB195" i="13" s="1"/>
  <c r="I195" i="13"/>
  <c r="AC195" i="13" s="1"/>
  <c r="D195" i="13"/>
  <c r="AC147" i="13"/>
  <c r="AA147" i="13" s="1"/>
  <c r="Z147" i="13"/>
  <c r="E147" i="13"/>
  <c r="D147" i="13"/>
  <c r="AC146" i="13"/>
  <c r="Z146" i="13"/>
  <c r="AB146" i="13" s="1"/>
  <c r="E146" i="13"/>
  <c r="D146" i="13"/>
  <c r="AC145" i="13"/>
  <c r="Z145" i="13"/>
  <c r="E145" i="13"/>
  <c r="D145" i="13"/>
  <c r="AC144" i="13"/>
  <c r="AA144" i="13" s="1"/>
  <c r="Z144" i="13"/>
  <c r="AB144" i="13" s="1"/>
  <c r="E144" i="13"/>
  <c r="D144" i="13"/>
  <c r="AC143" i="13"/>
  <c r="Z143" i="13"/>
  <c r="AB143" i="13" s="1"/>
  <c r="E143" i="13"/>
  <c r="D143" i="13"/>
  <c r="AC142" i="13"/>
  <c r="Z142" i="13"/>
  <c r="E142" i="13"/>
  <c r="D142" i="13"/>
  <c r="AC141" i="13"/>
  <c r="AA141" i="13" s="1"/>
  <c r="AE141" i="13" s="1"/>
  <c r="Z141" i="13"/>
  <c r="AB141" i="13" s="1"/>
  <c r="E141" i="13"/>
  <c r="D141" i="13"/>
  <c r="AC140" i="13"/>
  <c r="Z140" i="13"/>
  <c r="AB140" i="13" s="1"/>
  <c r="E140" i="13"/>
  <c r="D140" i="13"/>
  <c r="AC139" i="13"/>
  <c r="Z139" i="13"/>
  <c r="AB139" i="13" s="1"/>
  <c r="E139" i="13"/>
  <c r="D139" i="13"/>
  <c r="AC138" i="13"/>
  <c r="AA138" i="13" s="1"/>
  <c r="AE138" i="13" s="1"/>
  <c r="Z138" i="13"/>
  <c r="AB138" i="13" s="1"/>
  <c r="E138" i="13"/>
  <c r="D138" i="13"/>
  <c r="AC137" i="13"/>
  <c r="Z137" i="13"/>
  <c r="AB137" i="13" s="1"/>
  <c r="E137" i="13"/>
  <c r="D137" i="13"/>
  <c r="AC136" i="13"/>
  <c r="Z136" i="13"/>
  <c r="E136" i="13"/>
  <c r="D136" i="13"/>
  <c r="Z131" i="13"/>
  <c r="I131" i="13"/>
  <c r="AC131" i="13" s="1"/>
  <c r="D131" i="13"/>
  <c r="Z130" i="13"/>
  <c r="I130" i="13"/>
  <c r="D130" i="13"/>
  <c r="Z129" i="13"/>
  <c r="I129" i="13"/>
  <c r="AC129" i="13" s="1"/>
  <c r="D129" i="13"/>
  <c r="Z128" i="13"/>
  <c r="AB128" i="13" s="1"/>
  <c r="AD128" i="13" s="1"/>
  <c r="I128" i="13"/>
  <c r="AC128" i="13" s="1"/>
  <c r="D128" i="13"/>
  <c r="Q109" i="13"/>
  <c r="AC109" i="13" s="1"/>
  <c r="P109" i="13"/>
  <c r="Z109" i="13" s="1"/>
  <c r="D109" i="13"/>
  <c r="Q108" i="13"/>
  <c r="AC108" i="13" s="1"/>
  <c r="P108" i="13"/>
  <c r="Z108" i="13" s="1"/>
  <c r="D108" i="13"/>
  <c r="AC107" i="13"/>
  <c r="Z107" i="13"/>
  <c r="D107" i="13"/>
  <c r="Q106" i="13"/>
  <c r="AC106" i="13" s="1"/>
  <c r="AA106" i="13" s="1"/>
  <c r="P106" i="13"/>
  <c r="Z106" i="13" s="1"/>
  <c r="D106" i="13"/>
  <c r="Q105" i="13"/>
  <c r="AC105" i="13" s="1"/>
  <c r="Z105" i="13"/>
  <c r="D105" i="13"/>
  <c r="Q104" i="13"/>
  <c r="AC104" i="13" s="1"/>
  <c r="P104" i="13"/>
  <c r="Z104" i="13" s="1"/>
  <c r="D104" i="13"/>
  <c r="Z103" i="13"/>
  <c r="AB103" i="13" s="1"/>
  <c r="I103" i="13"/>
  <c r="AC103" i="13" s="1"/>
  <c r="D103" i="13"/>
  <c r="Z102" i="13"/>
  <c r="AB102" i="13" s="1"/>
  <c r="I102" i="13"/>
  <c r="D102" i="13"/>
  <c r="Z101" i="13"/>
  <c r="I101" i="13"/>
  <c r="AC101" i="13" s="1"/>
  <c r="D101" i="13"/>
  <c r="Z100" i="13"/>
  <c r="I100" i="13"/>
  <c r="AC100" i="13" s="1"/>
  <c r="D100" i="13"/>
  <c r="Z99" i="13"/>
  <c r="AB99" i="13" s="1"/>
  <c r="I99" i="13"/>
  <c r="AC99" i="13" s="1"/>
  <c r="D99" i="13"/>
  <c r="Z98" i="13"/>
  <c r="AB98" i="13" s="1"/>
  <c r="I98" i="13"/>
  <c r="D98" i="13"/>
  <c r="Z97" i="13"/>
  <c r="I97" i="13"/>
  <c r="AC97" i="13" s="1"/>
  <c r="D97" i="13"/>
  <c r="S88" i="13"/>
  <c r="R88" i="13"/>
  <c r="Q88" i="13"/>
  <c r="AC88" i="13" s="1"/>
  <c r="P88" i="13"/>
  <c r="Z88" i="13" s="1"/>
  <c r="D88" i="13"/>
  <c r="S87" i="13"/>
  <c r="R87" i="13"/>
  <c r="Q87" i="13"/>
  <c r="AC87" i="13" s="1"/>
  <c r="P87" i="13"/>
  <c r="Z87" i="13" s="1"/>
  <c r="D87" i="13"/>
  <c r="S86" i="13"/>
  <c r="R86" i="13"/>
  <c r="Q86" i="13"/>
  <c r="AC86" i="13" s="1"/>
  <c r="P86" i="13"/>
  <c r="Z86" i="13" s="1"/>
  <c r="D86" i="13"/>
  <c r="I85" i="13"/>
  <c r="AC85" i="13" s="1"/>
  <c r="G85" i="13"/>
  <c r="Z85" i="13" s="1"/>
  <c r="D85" i="13"/>
  <c r="I84" i="13"/>
  <c r="G84" i="13"/>
  <c r="Z84" i="13" s="1"/>
  <c r="D84" i="13"/>
  <c r="Z83" i="13"/>
  <c r="I83" i="13"/>
  <c r="AC83" i="13" s="1"/>
  <c r="D83" i="13"/>
  <c r="Z82" i="13"/>
  <c r="AB82" i="13" s="1"/>
  <c r="I82" i="13"/>
  <c r="AC82" i="13" s="1"/>
  <c r="D82" i="13"/>
  <c r="Z81" i="13"/>
  <c r="AB81" i="13" s="1"/>
  <c r="I81" i="13"/>
  <c r="D81" i="13"/>
  <c r="Z80" i="13"/>
  <c r="I80" i="13"/>
  <c r="AC80" i="13" s="1"/>
  <c r="D80" i="13"/>
  <c r="Z79" i="13"/>
  <c r="I79" i="13"/>
  <c r="AC79" i="13" s="1"/>
  <c r="D79" i="13"/>
  <c r="Z78" i="13"/>
  <c r="AB78" i="13" s="1"/>
  <c r="I78" i="13"/>
  <c r="AC78" i="13" s="1"/>
  <c r="D78" i="13"/>
  <c r="Z77" i="13"/>
  <c r="AB77" i="13" s="1"/>
  <c r="I77" i="13"/>
  <c r="D77" i="13"/>
  <c r="Z76" i="13"/>
  <c r="I76" i="13"/>
  <c r="AC76" i="13" s="1"/>
  <c r="D76" i="13"/>
  <c r="AC75" i="13"/>
  <c r="AA75" i="13" s="1"/>
  <c r="AE75" i="13" s="1"/>
  <c r="Z75" i="13"/>
  <c r="D75" i="13"/>
  <c r="AC74" i="13"/>
  <c r="AA74" i="13" s="1"/>
  <c r="AE74" i="13" s="1"/>
  <c r="Z74" i="13"/>
  <c r="D74" i="13"/>
  <c r="AC73" i="13"/>
  <c r="AA73" i="13" s="1"/>
  <c r="AE73" i="13" s="1"/>
  <c r="Z73" i="13"/>
  <c r="D73" i="13"/>
  <c r="AC72" i="13"/>
  <c r="AA72" i="13" s="1"/>
  <c r="AE72" i="13" s="1"/>
  <c r="Z72" i="13"/>
  <c r="D72" i="13"/>
  <c r="AC71" i="13"/>
  <c r="AA71" i="13" s="1"/>
  <c r="AE71" i="13" s="1"/>
  <c r="Z71" i="13"/>
  <c r="D71" i="13"/>
  <c r="AC70" i="13"/>
  <c r="AA70" i="13" s="1"/>
  <c r="AE70" i="13" s="1"/>
  <c r="Z70" i="13"/>
  <c r="D70" i="13"/>
  <c r="AC69" i="13"/>
  <c r="AA69" i="13" s="1"/>
  <c r="AE69" i="13" s="1"/>
  <c r="Z69" i="13"/>
  <c r="D69" i="13"/>
  <c r="AC68" i="13"/>
  <c r="AA68" i="13" s="1"/>
  <c r="AE68" i="13" s="1"/>
  <c r="Z68" i="13"/>
  <c r="D68" i="13"/>
  <c r="AC67" i="13"/>
  <c r="AA67" i="13" s="1"/>
  <c r="AE67" i="13" s="1"/>
  <c r="Z67" i="13"/>
  <c r="D67" i="13"/>
  <c r="AC66" i="13"/>
  <c r="AA66" i="13" s="1"/>
  <c r="AE66" i="13" s="1"/>
  <c r="Z66" i="13"/>
  <c r="D66" i="13"/>
  <c r="S65" i="13"/>
  <c r="R65" i="13"/>
  <c r="Q65" i="13"/>
  <c r="AC65" i="13" s="1"/>
  <c r="P65" i="13"/>
  <c r="Z65" i="13" s="1"/>
  <c r="D65" i="13"/>
  <c r="S64" i="13"/>
  <c r="R64" i="13"/>
  <c r="Q64" i="13"/>
  <c r="AC64" i="13" s="1"/>
  <c r="P64" i="13"/>
  <c r="Z64" i="13" s="1"/>
  <c r="D64" i="13"/>
  <c r="AC63" i="13"/>
  <c r="AA63" i="13" s="1"/>
  <c r="AE63" i="13" s="1"/>
  <c r="Z63" i="13"/>
  <c r="D63" i="13"/>
  <c r="AC62" i="13"/>
  <c r="AA62" i="13" s="1"/>
  <c r="AE62" i="13" s="1"/>
  <c r="Z62" i="13"/>
  <c r="D62" i="13"/>
  <c r="AC61" i="13"/>
  <c r="AA61" i="13" s="1"/>
  <c r="AE61" i="13" s="1"/>
  <c r="Z61" i="13"/>
  <c r="D61" i="13"/>
  <c r="AC60" i="13"/>
  <c r="AA60" i="13" s="1"/>
  <c r="AE60" i="13" s="1"/>
  <c r="Z60" i="13"/>
  <c r="D60" i="13"/>
  <c r="AC59" i="13"/>
  <c r="AA59" i="13" s="1"/>
  <c r="AE59" i="13" s="1"/>
  <c r="Z59" i="13"/>
  <c r="D59" i="13"/>
  <c r="AC58" i="13"/>
  <c r="AA58" i="13" s="1"/>
  <c r="AE58" i="13" s="1"/>
  <c r="Z58" i="13"/>
  <c r="D58" i="13"/>
  <c r="AC57" i="13"/>
  <c r="AA57" i="13" s="1"/>
  <c r="AE57" i="13" s="1"/>
  <c r="Z57" i="13"/>
  <c r="D57" i="13"/>
  <c r="AC56" i="13"/>
  <c r="AA56" i="13" s="1"/>
  <c r="AE56" i="13" s="1"/>
  <c r="Z56" i="13"/>
  <c r="D56" i="13"/>
  <c r="AC51" i="13"/>
  <c r="AA51" i="13" s="1"/>
  <c r="AE51" i="13" s="1"/>
  <c r="Z51" i="13"/>
  <c r="D51" i="13"/>
  <c r="AC50" i="13"/>
  <c r="AA50" i="13" s="1"/>
  <c r="AE50" i="13" s="1"/>
  <c r="Z50" i="13"/>
  <c r="D50" i="13"/>
  <c r="AC49" i="13"/>
  <c r="AA49" i="13" s="1"/>
  <c r="AE49" i="13" s="1"/>
  <c r="Z49" i="13"/>
  <c r="D49" i="13"/>
  <c r="AC48" i="13"/>
  <c r="AA48" i="13" s="1"/>
  <c r="AE48" i="13" s="1"/>
  <c r="Z48" i="13"/>
  <c r="D48" i="13"/>
  <c r="AC33" i="13"/>
  <c r="AA33" i="13" s="1"/>
  <c r="AE33" i="13" s="1"/>
  <c r="Z33" i="13"/>
  <c r="D33" i="13"/>
  <c r="AC32" i="13"/>
  <c r="AA32" i="13" s="1"/>
  <c r="AE32" i="13" s="1"/>
  <c r="Z32" i="13"/>
  <c r="D32" i="13"/>
  <c r="AC22" i="13"/>
  <c r="AA22" i="13" s="1"/>
  <c r="AE22" i="13" s="1"/>
  <c r="Z22" i="13"/>
  <c r="D22" i="13"/>
  <c r="AC21" i="13"/>
  <c r="AA21" i="13" s="1"/>
  <c r="AE21" i="13" s="1"/>
  <c r="Z21" i="13"/>
  <c r="D21" i="13"/>
  <c r="AC20" i="13"/>
  <c r="AA20" i="13" s="1"/>
  <c r="AE20" i="13" s="1"/>
  <c r="Z20" i="13"/>
  <c r="D20" i="13"/>
  <c r="AC19" i="13"/>
  <c r="AA19" i="13" s="1"/>
  <c r="AE19" i="13" s="1"/>
  <c r="Z19" i="13"/>
  <c r="D19" i="13"/>
  <c r="AC18" i="13"/>
  <c r="AA18" i="13" s="1"/>
  <c r="AE18" i="13" s="1"/>
  <c r="Z18" i="13"/>
  <c r="D18" i="13"/>
  <c r="AC17" i="13"/>
  <c r="AA17" i="13" s="1"/>
  <c r="AE17" i="13" s="1"/>
  <c r="Z17" i="13"/>
  <c r="D17" i="13"/>
  <c r="AC16" i="13"/>
  <c r="AA16" i="13" s="1"/>
  <c r="AE16" i="13" s="1"/>
  <c r="Z16" i="13"/>
  <c r="D16" i="13"/>
  <c r="AC15" i="13"/>
  <c r="AA15" i="13" s="1"/>
  <c r="AE15" i="13" s="1"/>
  <c r="Z15" i="13"/>
  <c r="D15" i="13"/>
  <c r="AC14" i="13"/>
  <c r="AA14" i="13" s="1"/>
  <c r="AE14" i="13" s="1"/>
  <c r="Z14" i="13"/>
  <c r="D14" i="13"/>
  <c r="AC13" i="13"/>
  <c r="AA13" i="13" s="1"/>
  <c r="AE13" i="13" s="1"/>
  <c r="Z13" i="13"/>
  <c r="D13" i="13"/>
  <c r="AC12" i="13"/>
  <c r="AA12" i="13" s="1"/>
  <c r="AE12" i="13" s="1"/>
  <c r="Z12" i="13"/>
  <c r="D12" i="13"/>
  <c r="AC11" i="13"/>
  <c r="AA11" i="13" s="1"/>
  <c r="AE11" i="13" s="1"/>
  <c r="Z11" i="13"/>
  <c r="D11" i="13"/>
  <c r="AC10" i="13"/>
  <c r="AA10" i="13" s="1"/>
  <c r="AE10" i="13" s="1"/>
  <c r="Z10" i="13"/>
  <c r="D10" i="13"/>
  <c r="AC9" i="13"/>
  <c r="AA9" i="13" s="1"/>
  <c r="AE9" i="13" s="1"/>
  <c r="Z9" i="13"/>
  <c r="D9" i="13"/>
  <c r="AC8" i="13"/>
  <c r="AA8" i="13" s="1"/>
  <c r="AE8" i="13" s="1"/>
  <c r="Z8" i="13"/>
  <c r="D8" i="13"/>
  <c r="AC7" i="13"/>
  <c r="AA7" i="13" s="1"/>
  <c r="AE7" i="13" s="1"/>
  <c r="Z7" i="13"/>
  <c r="D7" i="13"/>
  <c r="AC6" i="13"/>
  <c r="AA6" i="13" s="1"/>
  <c r="AE6" i="13" s="1"/>
  <c r="Z6" i="13"/>
  <c r="D6" i="13"/>
  <c r="AC5" i="13"/>
  <c r="AA5" i="13" s="1"/>
  <c r="AE5" i="13" s="1"/>
  <c r="Z5" i="13"/>
  <c r="D5" i="13"/>
  <c r="AC4" i="13"/>
  <c r="AA4" i="13" s="1"/>
  <c r="AE4" i="13" s="1"/>
  <c r="Z4" i="13"/>
  <c r="D4" i="13"/>
  <c r="Z194" i="13"/>
  <c r="I194" i="13"/>
  <c r="AC194" i="13" s="1"/>
  <c r="D194" i="13"/>
  <c r="Z193" i="13"/>
  <c r="AB193" i="13" s="1"/>
  <c r="I193" i="13"/>
  <c r="AC193" i="13" s="1"/>
  <c r="D193" i="13"/>
  <c r="Z192" i="13"/>
  <c r="I192" i="13"/>
  <c r="AC192" i="13" s="1"/>
  <c r="D192" i="13"/>
  <c r="Z191" i="13"/>
  <c r="AB191" i="13" s="1"/>
  <c r="I191" i="13"/>
  <c r="AC191" i="13" s="1"/>
  <c r="AA191" i="13" s="1"/>
  <c r="D191" i="13"/>
  <c r="Z190" i="13"/>
  <c r="I190" i="13"/>
  <c r="AC190" i="13" s="1"/>
  <c r="D190" i="13"/>
  <c r="Z189" i="13"/>
  <c r="AB189" i="13" s="1"/>
  <c r="I189" i="13"/>
  <c r="AC189" i="13" s="1"/>
  <c r="D189" i="13"/>
  <c r="Z188" i="13"/>
  <c r="I188" i="13"/>
  <c r="AC188" i="13" s="1"/>
  <c r="D188" i="13"/>
  <c r="AC187" i="13"/>
  <c r="Z187" i="13"/>
  <c r="AB187" i="13" s="1"/>
  <c r="E187" i="13"/>
  <c r="D187" i="13"/>
  <c r="AC186" i="13"/>
  <c r="Z186" i="13"/>
  <c r="E186" i="13"/>
  <c r="D186" i="13"/>
  <c r="AC185" i="13"/>
  <c r="AA185" i="13" s="1"/>
  <c r="Z185" i="13"/>
  <c r="AB185" i="13" s="1"/>
  <c r="E185" i="13"/>
  <c r="D185" i="13"/>
  <c r="AC184" i="13"/>
  <c r="Z184" i="13"/>
  <c r="AB184" i="13" s="1"/>
  <c r="E184" i="13"/>
  <c r="D184" i="13"/>
  <c r="AC183" i="13"/>
  <c r="AA183" i="13" s="1"/>
  <c r="Z183" i="13"/>
  <c r="E183" i="13"/>
  <c r="D183" i="13"/>
  <c r="AC182" i="13"/>
  <c r="AA182" i="13" s="1"/>
  <c r="Z182" i="13"/>
  <c r="AB182" i="13" s="1"/>
  <c r="E182" i="13"/>
  <c r="D182" i="13"/>
  <c r="Z163" i="13"/>
  <c r="AB163" i="13" s="1"/>
  <c r="I163" i="13"/>
  <c r="D163" i="13"/>
  <c r="Z162" i="13"/>
  <c r="I162" i="13"/>
  <c r="AC162" i="13" s="1"/>
  <c r="D162" i="13"/>
  <c r="AC161" i="13"/>
  <c r="Z161" i="13"/>
  <c r="D161" i="13"/>
  <c r="AC160" i="13"/>
  <c r="Z160" i="13"/>
  <c r="D160" i="13"/>
  <c r="AC127" i="13"/>
  <c r="AA127" i="13" s="1"/>
  <c r="AE127" i="13" s="1"/>
  <c r="Z127" i="13"/>
  <c r="D127" i="13"/>
  <c r="AC126" i="13"/>
  <c r="Z126" i="13"/>
  <c r="D126" i="13"/>
  <c r="AC125" i="13"/>
  <c r="AA125" i="13" s="1"/>
  <c r="AE125" i="13" s="1"/>
  <c r="Z125" i="13"/>
  <c r="D125" i="13"/>
  <c r="AC124" i="13"/>
  <c r="Z124" i="13"/>
  <c r="D124" i="13"/>
  <c r="AC123" i="13"/>
  <c r="AA123" i="13" s="1"/>
  <c r="AE123" i="13" s="1"/>
  <c r="Z123" i="13"/>
  <c r="D123" i="13"/>
  <c r="AC122" i="13"/>
  <c r="Z122" i="13"/>
  <c r="D122" i="13"/>
  <c r="AC121" i="13"/>
  <c r="AA121" i="13" s="1"/>
  <c r="AE121" i="13" s="1"/>
  <c r="Z121" i="13"/>
  <c r="D121" i="13"/>
  <c r="AC120" i="13"/>
  <c r="Z120" i="13"/>
  <c r="D120" i="13"/>
  <c r="Z119" i="13"/>
  <c r="I119" i="13"/>
  <c r="AC119" i="13" s="1"/>
  <c r="D119" i="13"/>
  <c r="Z118" i="13"/>
  <c r="I118" i="13"/>
  <c r="AC118" i="13" s="1"/>
  <c r="D118" i="13"/>
  <c r="Z117" i="13"/>
  <c r="AB117" i="13" s="1"/>
  <c r="I117" i="13"/>
  <c r="AC117" i="13" s="1"/>
  <c r="D117" i="13"/>
  <c r="Z116" i="13"/>
  <c r="AB116" i="13" s="1"/>
  <c r="I116" i="13"/>
  <c r="D116" i="13"/>
  <c r="AC96" i="13"/>
  <c r="Z96" i="13"/>
  <c r="D96" i="13"/>
  <c r="AC95" i="13"/>
  <c r="Z95" i="13"/>
  <c r="D95" i="13"/>
  <c r="AC55" i="13"/>
  <c r="Z55" i="13"/>
  <c r="D55" i="13"/>
  <c r="AC54" i="13"/>
  <c r="Z54" i="13"/>
  <c r="D54" i="13"/>
  <c r="AC47" i="13"/>
  <c r="Z47" i="13"/>
  <c r="D47" i="13"/>
  <c r="AC46" i="13"/>
  <c r="Z46" i="13"/>
  <c r="D46" i="13"/>
  <c r="AC45" i="13"/>
  <c r="Z45" i="13"/>
  <c r="D45" i="13"/>
  <c r="AC44" i="13"/>
  <c r="Z44" i="13"/>
  <c r="D44" i="13"/>
  <c r="AC43" i="13"/>
  <c r="Z43" i="13"/>
  <c r="D43" i="13"/>
  <c r="AC42" i="13"/>
  <c r="Z42" i="13"/>
  <c r="D42" i="13"/>
  <c r="AC41" i="13"/>
  <c r="Z41" i="13"/>
  <c r="D41" i="13"/>
  <c r="AC40" i="13"/>
  <c r="Z40" i="13"/>
  <c r="D40" i="13"/>
  <c r="AC39" i="13"/>
  <c r="Z39" i="13"/>
  <c r="D39" i="13"/>
  <c r="AC38" i="13"/>
  <c r="Z38" i="13"/>
  <c r="D38" i="13"/>
  <c r="AC37" i="13"/>
  <c r="Z37" i="13"/>
  <c r="D37" i="13"/>
  <c r="AC36" i="13"/>
  <c r="Z36" i="13"/>
  <c r="E36" i="13"/>
  <c r="D36" i="13"/>
  <c r="AC29" i="13"/>
  <c r="AA29" i="13" s="1"/>
  <c r="AE29" i="13" s="1"/>
  <c r="Z29" i="13"/>
  <c r="D29" i="13"/>
  <c r="AC28" i="13"/>
  <c r="AA28" i="13" s="1"/>
  <c r="AE28" i="13" s="1"/>
  <c r="Z28" i="13"/>
  <c r="D28" i="13"/>
  <c r="AC27" i="13"/>
  <c r="AA27" i="13" s="1"/>
  <c r="AE27" i="13" s="1"/>
  <c r="Z27" i="13"/>
  <c r="D27" i="13"/>
  <c r="AC26" i="13"/>
  <c r="AA26" i="13" s="1"/>
  <c r="AE26" i="13" s="1"/>
  <c r="Z26" i="13"/>
  <c r="D26" i="13"/>
  <c r="AC25" i="13"/>
  <c r="AA25" i="13" s="1"/>
  <c r="AE25" i="13" s="1"/>
  <c r="Z25" i="13"/>
  <c r="D25" i="13"/>
  <c r="Q24" i="13"/>
  <c r="AC24" i="13" s="1"/>
  <c r="P24" i="13"/>
  <c r="Z24" i="13" s="1"/>
  <c r="E24" i="13"/>
  <c r="D24" i="13"/>
  <c r="Q23" i="13"/>
  <c r="AC23" i="13" s="1"/>
  <c r="P23" i="13"/>
  <c r="Z23" i="13" s="1"/>
  <c r="E23" i="13"/>
  <c r="D23" i="13"/>
  <c r="AE319" i="13" l="1"/>
  <c r="AG17" i="14"/>
  <c r="AF16" i="14"/>
  <c r="AG319" i="13"/>
  <c r="AH319" i="13"/>
  <c r="AA4" i="14"/>
  <c r="AE4" i="14" s="1"/>
  <c r="AG16" i="14"/>
  <c r="AG254" i="13"/>
  <c r="E175" i="13"/>
  <c r="AF112" i="13"/>
  <c r="E179" i="13"/>
  <c r="AF303" i="13"/>
  <c r="AG283" i="13"/>
  <c r="AF177" i="13"/>
  <c r="AG184" i="13"/>
  <c r="AF132" i="13"/>
  <c r="AH141" i="13"/>
  <c r="E167" i="13"/>
  <c r="AF185" i="13"/>
  <c r="AA189" i="13"/>
  <c r="AF189" i="13" s="1"/>
  <c r="AF153" i="13"/>
  <c r="E189" i="13"/>
  <c r="AG279" i="13"/>
  <c r="AG293" i="13"/>
  <c r="AG226" i="13"/>
  <c r="AG82" i="13"/>
  <c r="AE147" i="13"/>
  <c r="AF224" i="13"/>
  <c r="AA255" i="13"/>
  <c r="AE255" i="13" s="1"/>
  <c r="AE307" i="13"/>
  <c r="AA173" i="13"/>
  <c r="AF173" i="13" s="1"/>
  <c r="AB177" i="13"/>
  <c r="AH177" i="13" s="1"/>
  <c r="AG99" i="13"/>
  <c r="AG146" i="13"/>
  <c r="AF280" i="13"/>
  <c r="AG302" i="13"/>
  <c r="AG112" i="13"/>
  <c r="AF113" i="13"/>
  <c r="AB132" i="13"/>
  <c r="AG132" i="13" s="1"/>
  <c r="E171" i="13"/>
  <c r="E173" i="13"/>
  <c r="AF182" i="13"/>
  <c r="AG221" i="13"/>
  <c r="AA258" i="13"/>
  <c r="AE258" i="13" s="1"/>
  <c r="AE317" i="13"/>
  <c r="AE144" i="13"/>
  <c r="AF144" i="13"/>
  <c r="AB219" i="13"/>
  <c r="AH219" i="13" s="1"/>
  <c r="AB286" i="13"/>
  <c r="AH286" i="13" s="1"/>
  <c r="AC181" i="13"/>
  <c r="AA181" i="13" s="1"/>
  <c r="E181" i="13"/>
  <c r="AB85" i="13"/>
  <c r="AD85" i="13" s="1"/>
  <c r="AA131" i="13"/>
  <c r="AE131" i="13" s="1"/>
  <c r="AD138" i="13"/>
  <c r="AF138" i="13"/>
  <c r="AA200" i="13"/>
  <c r="AE200" i="13" s="1"/>
  <c r="AE230" i="13"/>
  <c r="AA241" i="13"/>
  <c r="AF241" i="13" s="1"/>
  <c r="AF286" i="13"/>
  <c r="AB289" i="13"/>
  <c r="AD289" i="13" s="1"/>
  <c r="AA292" i="13"/>
  <c r="AE292" i="13" s="1"/>
  <c r="AD111" i="13"/>
  <c r="AG111" i="13"/>
  <c r="AE112" i="13"/>
  <c r="AE153" i="13"/>
  <c r="AC165" i="13"/>
  <c r="AA165" i="13" s="1"/>
  <c r="AF165" i="13" s="1"/>
  <c r="E165" i="13"/>
  <c r="AA149" i="13"/>
  <c r="AE149" i="13" s="1"/>
  <c r="AA158" i="13"/>
  <c r="AE158" i="13" s="1"/>
  <c r="AE183" i="13"/>
  <c r="AG185" i="13"/>
  <c r="E191" i="13"/>
  <c r="E193" i="13"/>
  <c r="AG78" i="13"/>
  <c r="AA82" i="13"/>
  <c r="AF82" i="13" s="1"/>
  <c r="AA107" i="13"/>
  <c r="AE107" i="13" s="1"/>
  <c r="AB131" i="13"/>
  <c r="AD131" i="13" s="1"/>
  <c r="AF219" i="13"/>
  <c r="AF232" i="13"/>
  <c r="AG247" i="13"/>
  <c r="AE286" i="13"/>
  <c r="AG312" i="13"/>
  <c r="AC321" i="13"/>
  <c r="AA321" i="13" s="1"/>
  <c r="AF321" i="13" s="1"/>
  <c r="AB113" i="13"/>
  <c r="AH113" i="13" s="1"/>
  <c r="AA148" i="13"/>
  <c r="AF148" i="13" s="1"/>
  <c r="AA150" i="13"/>
  <c r="AE150" i="13" s="1"/>
  <c r="AG156" i="13"/>
  <c r="AA157" i="13"/>
  <c r="AF157" i="13" s="1"/>
  <c r="AF179" i="13"/>
  <c r="AH185" i="13"/>
  <c r="AE185" i="13"/>
  <c r="AG187" i="13"/>
  <c r="AF191" i="13"/>
  <c r="AG103" i="13"/>
  <c r="AH138" i="13"/>
  <c r="AG140" i="13"/>
  <c r="AD141" i="13"/>
  <c r="AF141" i="13"/>
  <c r="AF212" i="13"/>
  <c r="AG259" i="13"/>
  <c r="AA294" i="13"/>
  <c r="AF294" i="13" s="1"/>
  <c r="AG294" i="13"/>
  <c r="AG135" i="13"/>
  <c r="AC169" i="13"/>
  <c r="AA169" i="13" s="1"/>
  <c r="AF169" i="13" s="1"/>
  <c r="E169" i="13"/>
  <c r="AG249" i="13"/>
  <c r="AH284" i="13"/>
  <c r="AD287" i="13"/>
  <c r="AD299" i="13"/>
  <c r="AF299" i="13"/>
  <c r="AD135" i="13"/>
  <c r="AA154" i="13"/>
  <c r="AE154" i="13" s="1"/>
  <c r="AG171" i="13"/>
  <c r="E177" i="13"/>
  <c r="AG216" i="13"/>
  <c r="AG227" i="13"/>
  <c r="AG242" i="13"/>
  <c r="AG245" i="13"/>
  <c r="AF295" i="13"/>
  <c r="AG152" i="13"/>
  <c r="AB169" i="13"/>
  <c r="AD169" i="13" s="1"/>
  <c r="AG212" i="13"/>
  <c r="AH216" i="13"/>
  <c r="AF216" i="13"/>
  <c r="AH227" i="13"/>
  <c r="AF227" i="13"/>
  <c r="AG232" i="13"/>
  <c r="AB241" i="13"/>
  <c r="AD241" i="13" s="1"/>
  <c r="AA242" i="13"/>
  <c r="AF242" i="13" s="1"/>
  <c r="AA249" i="13"/>
  <c r="AF249" i="13" s="1"/>
  <c r="AD284" i="13"/>
  <c r="AF284" i="13"/>
  <c r="AE288" i="13"/>
  <c r="AG298" i="13"/>
  <c r="AH299" i="13"/>
  <c r="AD133" i="13"/>
  <c r="AF133" i="13"/>
  <c r="AB148" i="13"/>
  <c r="AG148" i="13" s="1"/>
  <c r="AA171" i="13"/>
  <c r="AF171" i="13" s="1"/>
  <c r="AG179" i="13"/>
  <c r="AA83" i="7"/>
  <c r="E83" i="7"/>
  <c r="AB83" i="7"/>
  <c r="AG83" i="7" s="1"/>
  <c r="AH63" i="7"/>
  <c r="AF63" i="7"/>
  <c r="AE63" i="7"/>
  <c r="AG63" i="7"/>
  <c r="AF5" i="14"/>
  <c r="AB5" i="14"/>
  <c r="AG5" i="14" s="1"/>
  <c r="AB4" i="14"/>
  <c r="AG4" i="14" s="1"/>
  <c r="AA6" i="14"/>
  <c r="AF6" i="14" s="1"/>
  <c r="AC7" i="14"/>
  <c r="AA8" i="14"/>
  <c r="AE8" i="14" s="1"/>
  <c r="AC9" i="14"/>
  <c r="AA10" i="14"/>
  <c r="AE10" i="14" s="1"/>
  <c r="E6" i="14"/>
  <c r="AB6" i="14"/>
  <c r="AG6" i="14" s="1"/>
  <c r="AD7" i="14"/>
  <c r="E8" i="14"/>
  <c r="AB8" i="14"/>
  <c r="AG8" i="14" s="1"/>
  <c r="AD9" i="14"/>
  <c r="E10" i="14"/>
  <c r="AB10" i="14"/>
  <c r="AG10" i="14" s="1"/>
  <c r="AF12" i="14"/>
  <c r="AG12" i="14"/>
  <c r="AF13" i="14"/>
  <c r="AG13" i="14"/>
  <c r="AE17" i="14"/>
  <c r="AH16" i="14"/>
  <c r="AE16" i="14"/>
  <c r="AG14" i="14"/>
  <c r="AH14" i="14"/>
  <c r="AG15" i="14"/>
  <c r="AG18" i="14"/>
  <c r="AF15" i="14"/>
  <c r="AF18" i="14"/>
  <c r="AG20" i="14"/>
  <c r="AF20" i="14"/>
  <c r="AB21" i="14"/>
  <c r="AH21" i="14" s="1"/>
  <c r="AF21" i="14"/>
  <c r="AA118" i="13"/>
  <c r="AB23" i="13"/>
  <c r="AG23" i="13" s="1"/>
  <c r="AA24" i="13"/>
  <c r="AF24" i="13" s="1"/>
  <c r="AB64" i="13"/>
  <c r="AD64" i="13" s="1"/>
  <c r="AB86" i="13"/>
  <c r="AA117" i="13"/>
  <c r="AG117" i="13"/>
  <c r="AA105" i="13"/>
  <c r="AB88" i="13"/>
  <c r="AD88" i="13" s="1"/>
  <c r="AB87" i="13"/>
  <c r="AD87" i="13" s="1"/>
  <c r="AC116" i="13"/>
  <c r="AA116" i="13" s="1"/>
  <c r="AF116" i="13" s="1"/>
  <c r="AB161" i="13"/>
  <c r="AG161" i="13" s="1"/>
  <c r="AB25" i="13"/>
  <c r="AF25" i="13"/>
  <c r="AB26" i="13"/>
  <c r="AG26" i="13" s="1"/>
  <c r="AF26" i="13"/>
  <c r="AB27" i="13"/>
  <c r="AH27" i="13" s="1"/>
  <c r="AF27" i="13"/>
  <c r="AB28" i="13"/>
  <c r="AF28" i="13"/>
  <c r="AB29" i="13"/>
  <c r="AG29" i="13" s="1"/>
  <c r="AF29" i="13"/>
  <c r="AA36" i="13"/>
  <c r="AA37" i="13"/>
  <c r="AE37" i="13" s="1"/>
  <c r="AA38" i="13"/>
  <c r="AF38" i="13" s="1"/>
  <c r="AA39" i="13"/>
  <c r="AF39" i="13" s="1"/>
  <c r="AA40" i="13"/>
  <c r="AF40" i="13" s="1"/>
  <c r="AA41" i="13"/>
  <c r="AF41" i="13" s="1"/>
  <c r="AA42" i="13"/>
  <c r="AA43" i="13"/>
  <c r="AF43" i="13" s="1"/>
  <c r="AA44" i="13"/>
  <c r="AE44" i="13" s="1"/>
  <c r="AA45" i="13"/>
  <c r="AE45" i="13" s="1"/>
  <c r="AA46" i="13"/>
  <c r="AF46" i="13" s="1"/>
  <c r="AA47" i="13"/>
  <c r="AF47" i="13" s="1"/>
  <c r="AA54" i="13"/>
  <c r="AA55" i="13"/>
  <c r="AE55" i="13" s="1"/>
  <c r="AA95" i="13"/>
  <c r="AF95" i="13" s="1"/>
  <c r="AA96" i="13"/>
  <c r="AF96" i="13" s="1"/>
  <c r="AD116" i="13"/>
  <c r="AB118" i="13"/>
  <c r="AG118" i="13" s="1"/>
  <c r="AA119" i="13"/>
  <c r="AA120" i="13"/>
  <c r="AA161" i="13"/>
  <c r="AE161" i="13" s="1"/>
  <c r="AG182" i="13"/>
  <c r="AA184" i="13"/>
  <c r="AF184" i="13" s="1"/>
  <c r="AA186" i="13"/>
  <c r="AF186" i="13" s="1"/>
  <c r="AG189" i="13"/>
  <c r="AH191" i="13"/>
  <c r="AA65" i="13"/>
  <c r="AB79" i="13"/>
  <c r="AA97" i="13"/>
  <c r="AF97" i="13" s="1"/>
  <c r="AA99" i="13"/>
  <c r="AC130" i="13"/>
  <c r="AG195" i="13"/>
  <c r="AA202" i="13"/>
  <c r="AE202" i="13" s="1"/>
  <c r="AA210" i="13"/>
  <c r="AE210" i="13" s="1"/>
  <c r="AB65" i="13"/>
  <c r="AD65" i="13" s="1"/>
  <c r="AA85" i="13"/>
  <c r="AA88" i="13"/>
  <c r="AB100" i="13"/>
  <c r="AA108" i="13"/>
  <c r="AE108" i="13" s="1"/>
  <c r="AA142" i="13"/>
  <c r="AE142" i="13" s="1"/>
  <c r="AA206" i="13"/>
  <c r="AE206" i="13" s="1"/>
  <c r="AA23" i="13"/>
  <c r="AB24" i="13"/>
  <c r="AD24" i="13" s="1"/>
  <c r="AB36" i="13"/>
  <c r="AD36" i="13" s="1"/>
  <c r="AB37" i="13"/>
  <c r="AG37" i="13" s="1"/>
  <c r="AB38" i="13"/>
  <c r="AB39" i="13"/>
  <c r="AB40" i="13"/>
  <c r="AG40" i="13" s="1"/>
  <c r="AB41" i="13"/>
  <c r="AB42" i="13"/>
  <c r="AG42" i="13" s="1"/>
  <c r="AB43" i="13"/>
  <c r="AG43" i="13" s="1"/>
  <c r="AB44" i="13"/>
  <c r="AG44" i="13" s="1"/>
  <c r="AB45" i="13"/>
  <c r="AG45" i="13" s="1"/>
  <c r="AB46" i="13"/>
  <c r="AD46" i="13" s="1"/>
  <c r="AB47" i="13"/>
  <c r="AD47" i="13" s="1"/>
  <c r="AB54" i="13"/>
  <c r="AD54" i="13" s="1"/>
  <c r="AB55" i="13"/>
  <c r="AG55" i="13" s="1"/>
  <c r="AB95" i="13"/>
  <c r="AB96" i="13"/>
  <c r="AD96" i="13" s="1"/>
  <c r="AD117" i="13"/>
  <c r="AB119" i="13"/>
  <c r="AD119" i="13" s="1"/>
  <c r="AB120" i="13"/>
  <c r="AG120" i="13" s="1"/>
  <c r="AB122" i="13"/>
  <c r="AD122" i="13" s="1"/>
  <c r="AB124" i="13"/>
  <c r="AD124" i="13" s="1"/>
  <c r="AB126" i="13"/>
  <c r="AD126" i="13" s="1"/>
  <c r="AB160" i="13"/>
  <c r="AD160" i="13" s="1"/>
  <c r="AB162" i="13"/>
  <c r="AD162" i="13" s="1"/>
  <c r="AH182" i="13"/>
  <c r="AE182" i="13"/>
  <c r="E190" i="13"/>
  <c r="AA190" i="13"/>
  <c r="AF190" i="13" s="1"/>
  <c r="AF32" i="13"/>
  <c r="AB32" i="13"/>
  <c r="AD32" i="13" s="1"/>
  <c r="AF33" i="13"/>
  <c r="AB33" i="13"/>
  <c r="AD33" i="13" s="1"/>
  <c r="AF48" i="13"/>
  <c r="AB48" i="13"/>
  <c r="AF49" i="13"/>
  <c r="AB49" i="13"/>
  <c r="AD49" i="13" s="1"/>
  <c r="AF50" i="13"/>
  <c r="AB50" i="13"/>
  <c r="AD50" i="13" s="1"/>
  <c r="AF51" i="13"/>
  <c r="AB51" i="13"/>
  <c r="AF56" i="13"/>
  <c r="AB56" i="13"/>
  <c r="AG56" i="13" s="1"/>
  <c r="AF57" i="13"/>
  <c r="AB57" i="13"/>
  <c r="AD57" i="13" s="1"/>
  <c r="AF58" i="13"/>
  <c r="AB58" i="13"/>
  <c r="AG58" i="13" s="1"/>
  <c r="AF59" i="13"/>
  <c r="AB59" i="13"/>
  <c r="AD59" i="13" s="1"/>
  <c r="AF60" i="13"/>
  <c r="AB60" i="13"/>
  <c r="AF61" i="13"/>
  <c r="AB61" i="13"/>
  <c r="AD61" i="13" s="1"/>
  <c r="AF62" i="13"/>
  <c r="AB62" i="13"/>
  <c r="AD62" i="13" s="1"/>
  <c r="AF63" i="13"/>
  <c r="AB63" i="13"/>
  <c r="AH63" i="13" s="1"/>
  <c r="AF66" i="13"/>
  <c r="AB66" i="13"/>
  <c r="AF67" i="13"/>
  <c r="AB67" i="13"/>
  <c r="AG67" i="13" s="1"/>
  <c r="AF68" i="13"/>
  <c r="AB68" i="13"/>
  <c r="AH68" i="13" s="1"/>
  <c r="AF69" i="13"/>
  <c r="AB69" i="13"/>
  <c r="AF70" i="13"/>
  <c r="AB70" i="13"/>
  <c r="AD70" i="13" s="1"/>
  <c r="AF71" i="13"/>
  <c r="AB71" i="13"/>
  <c r="AG71" i="13" s="1"/>
  <c r="AF72" i="13"/>
  <c r="AB72" i="13"/>
  <c r="AD72" i="13" s="1"/>
  <c r="AF73" i="13"/>
  <c r="AB73" i="13"/>
  <c r="AD73" i="13" s="1"/>
  <c r="AF74" i="13"/>
  <c r="AB74" i="13"/>
  <c r="AF75" i="13"/>
  <c r="AB75" i="13"/>
  <c r="AG75" i="13" s="1"/>
  <c r="AA76" i="13"/>
  <c r="AE76" i="13" s="1"/>
  <c r="AA78" i="13"/>
  <c r="AF78" i="13" s="1"/>
  <c r="AB83" i="13"/>
  <c r="AD83" i="13" s="1"/>
  <c r="AB84" i="13"/>
  <c r="AD84" i="13" s="1"/>
  <c r="AA87" i="13"/>
  <c r="AA101" i="13"/>
  <c r="AE101" i="13" s="1"/>
  <c r="AA103" i="13"/>
  <c r="AF103" i="13" s="1"/>
  <c r="AE106" i="13"/>
  <c r="AB107" i="13"/>
  <c r="AG107" i="13" s="1"/>
  <c r="E201" i="13"/>
  <c r="AC201" i="13"/>
  <c r="AA201" i="13" s="1"/>
  <c r="AG203" i="13"/>
  <c r="AG208" i="13"/>
  <c r="AF121" i="13"/>
  <c r="AB121" i="13"/>
  <c r="AG121" i="13" s="1"/>
  <c r="AF123" i="13"/>
  <c r="AB123" i="13"/>
  <c r="AG123" i="13" s="1"/>
  <c r="AF125" i="13"/>
  <c r="AB125" i="13"/>
  <c r="AG125" i="13" s="1"/>
  <c r="AF127" i="13"/>
  <c r="AB127" i="13"/>
  <c r="AG127" i="13" s="1"/>
  <c r="AF183" i="13"/>
  <c r="AB183" i="13"/>
  <c r="AG183" i="13" s="1"/>
  <c r="AB186" i="13"/>
  <c r="AG186" i="13" s="1"/>
  <c r="AB188" i="13"/>
  <c r="AD188" i="13" s="1"/>
  <c r="AE191" i="13"/>
  <c r="AG191" i="13"/>
  <c r="AB192" i="13"/>
  <c r="AA86" i="13"/>
  <c r="AA122" i="13"/>
  <c r="AA124" i="13"/>
  <c r="AF124" i="13" s="1"/>
  <c r="AA126" i="13"/>
  <c r="AA160" i="13"/>
  <c r="AF160" i="13" s="1"/>
  <c r="AA162" i="13"/>
  <c r="AC163" i="13"/>
  <c r="AA163" i="13" s="1"/>
  <c r="AF163" i="13" s="1"/>
  <c r="AA187" i="13"/>
  <c r="AF187" i="13" s="1"/>
  <c r="E188" i="13"/>
  <c r="AA188" i="13"/>
  <c r="AE188" i="13" s="1"/>
  <c r="AB190" i="13"/>
  <c r="AA193" i="13"/>
  <c r="AF193" i="13" s="1"/>
  <c r="AG193" i="13"/>
  <c r="AB194" i="13"/>
  <c r="AD194" i="13" s="1"/>
  <c r="AF4" i="13"/>
  <c r="AB4" i="13"/>
  <c r="AG4" i="13" s="1"/>
  <c r="AF5" i="13"/>
  <c r="AB5" i="13"/>
  <c r="AD5" i="13" s="1"/>
  <c r="AF6" i="13"/>
  <c r="AB6" i="13"/>
  <c r="AG6" i="13" s="1"/>
  <c r="AF7" i="13"/>
  <c r="AB7" i="13"/>
  <c r="AF8" i="13"/>
  <c r="AB8" i="13"/>
  <c r="AD8" i="13" s="1"/>
  <c r="AF9" i="13"/>
  <c r="AB9" i="13"/>
  <c r="AD9" i="13" s="1"/>
  <c r="AF10" i="13"/>
  <c r="AB10" i="13"/>
  <c r="AG10" i="13" s="1"/>
  <c r="AF11" i="13"/>
  <c r="AB11" i="13"/>
  <c r="AG11" i="13" s="1"/>
  <c r="AF12" i="13"/>
  <c r="AB12" i="13"/>
  <c r="AD12" i="13" s="1"/>
  <c r="AF13" i="13"/>
  <c r="AB13" i="13"/>
  <c r="AD13" i="13" s="1"/>
  <c r="AF14" i="13"/>
  <c r="AB14" i="13"/>
  <c r="AG14" i="13" s="1"/>
  <c r="AF15" i="13"/>
  <c r="AB15" i="13"/>
  <c r="AF16" i="13"/>
  <c r="AB16" i="13"/>
  <c r="AG16" i="13" s="1"/>
  <c r="AF17" i="13"/>
  <c r="AB17" i="13"/>
  <c r="AD17" i="13" s="1"/>
  <c r="AF18" i="13"/>
  <c r="AB18" i="13"/>
  <c r="AD18" i="13" s="1"/>
  <c r="AF19" i="13"/>
  <c r="AB19" i="13"/>
  <c r="AG19" i="13" s="1"/>
  <c r="AF20" i="13"/>
  <c r="AB20" i="13"/>
  <c r="AD20" i="13" s="1"/>
  <c r="AF21" i="13"/>
  <c r="AB21" i="13"/>
  <c r="AD21" i="13" s="1"/>
  <c r="AF22" i="13"/>
  <c r="AB22" i="13"/>
  <c r="AG22" i="13" s="1"/>
  <c r="AA64" i="13"/>
  <c r="AA80" i="13"/>
  <c r="AE80" i="13" s="1"/>
  <c r="AA100" i="13"/>
  <c r="AF100" i="13" s="1"/>
  <c r="AA104" i="13"/>
  <c r="AF104" i="13" s="1"/>
  <c r="AF106" i="13"/>
  <c r="AB106" i="13"/>
  <c r="AG106" i="13" s="1"/>
  <c r="AA109" i="13"/>
  <c r="AE109" i="13" s="1"/>
  <c r="AB129" i="13"/>
  <c r="AD129" i="13" s="1"/>
  <c r="AB145" i="13"/>
  <c r="AD145" i="13" s="1"/>
  <c r="AA198" i="13"/>
  <c r="AE198" i="13" s="1"/>
  <c r="AD163" i="13"/>
  <c r="AD184" i="13"/>
  <c r="AD187" i="13"/>
  <c r="AA192" i="13"/>
  <c r="AF192" i="13" s="1"/>
  <c r="AA194" i="13"/>
  <c r="AF194" i="13" s="1"/>
  <c r="AC77" i="13"/>
  <c r="AA77" i="13" s="1"/>
  <c r="AF77" i="13" s="1"/>
  <c r="AA79" i="13"/>
  <c r="AF79" i="13" s="1"/>
  <c r="AC81" i="13"/>
  <c r="AA83" i="13"/>
  <c r="AC84" i="13"/>
  <c r="AC98" i="13"/>
  <c r="AA98" i="13" s="1"/>
  <c r="AF98" i="13" s="1"/>
  <c r="AC102" i="13"/>
  <c r="AG128" i="13"/>
  <c r="AG137" i="13"/>
  <c r="AA137" i="13"/>
  <c r="AE137" i="13" s="1"/>
  <c r="AG139" i="13"/>
  <c r="AA139" i="13"/>
  <c r="AG143" i="13"/>
  <c r="AA143" i="13"/>
  <c r="E197" i="13"/>
  <c r="AC197" i="13"/>
  <c r="AG199" i="13"/>
  <c r="E205" i="13"/>
  <c r="AC205" i="13"/>
  <c r="AA205" i="13" s="1"/>
  <c r="AA208" i="13"/>
  <c r="AA209" i="13"/>
  <c r="AF209" i="13" s="1"/>
  <c r="AG209" i="13"/>
  <c r="AA213" i="13"/>
  <c r="AE213" i="13" s="1"/>
  <c r="AB215" i="13"/>
  <c r="AD215" i="13" s="1"/>
  <c r="AE245" i="13"/>
  <c r="AF245" i="13"/>
  <c r="AD182" i="13"/>
  <c r="AD185" i="13"/>
  <c r="AD189" i="13"/>
  <c r="AD191" i="13"/>
  <c r="E192" i="13"/>
  <c r="AD193" i="13"/>
  <c r="E194" i="13"/>
  <c r="AD77" i="13"/>
  <c r="AD81" i="13"/>
  <c r="AD98" i="13"/>
  <c r="AD102" i="13"/>
  <c r="AB130" i="13"/>
  <c r="AD130" i="13" s="1"/>
  <c r="AB136" i="13"/>
  <c r="AD136" i="13" s="1"/>
  <c r="AD140" i="13"/>
  <c r="AG214" i="13"/>
  <c r="AB76" i="13"/>
  <c r="AG76" i="13" s="1"/>
  <c r="AD78" i="13"/>
  <c r="AB80" i="13"/>
  <c r="AD82" i="13"/>
  <c r="AB97" i="13"/>
  <c r="AG97" i="13" s="1"/>
  <c r="AD99" i="13"/>
  <c r="AB101" i="13"/>
  <c r="AD103" i="13"/>
  <c r="AB104" i="13"/>
  <c r="AG104" i="13" s="1"/>
  <c r="AB105" i="13"/>
  <c r="AB108" i="13"/>
  <c r="AG108" i="13" s="1"/>
  <c r="AB109" i="13"/>
  <c r="AG109" i="13" s="1"/>
  <c r="AA128" i="13"/>
  <c r="AA129" i="13"/>
  <c r="AE129" i="13" s="1"/>
  <c r="AA136" i="13"/>
  <c r="AE136" i="13" s="1"/>
  <c r="AH144" i="13"/>
  <c r="E195" i="13"/>
  <c r="AA195" i="13"/>
  <c r="AF195" i="13" s="1"/>
  <c r="AA196" i="13"/>
  <c r="AE196" i="13" s="1"/>
  <c r="E203" i="13"/>
  <c r="AA203" i="13"/>
  <c r="AA204" i="13"/>
  <c r="AE204" i="13" s="1"/>
  <c r="AB207" i="13"/>
  <c r="AB211" i="13"/>
  <c r="AD211" i="13" s="1"/>
  <c r="AG138" i="13"/>
  <c r="AG141" i="13"/>
  <c r="AG144" i="13"/>
  <c r="AA146" i="13"/>
  <c r="AF146" i="13" s="1"/>
  <c r="E199" i="13"/>
  <c r="AA199" i="13"/>
  <c r="AF199" i="13" s="1"/>
  <c r="AA238" i="13"/>
  <c r="AF238" i="13" s="1"/>
  <c r="AG238" i="13"/>
  <c r="AB228" i="13"/>
  <c r="AD228" i="13" s="1"/>
  <c r="AB235" i="13"/>
  <c r="AA251" i="13"/>
  <c r="AH251" i="13" s="1"/>
  <c r="AG251" i="13"/>
  <c r="AG260" i="13"/>
  <c r="AA260" i="13"/>
  <c r="AF260" i="13" s="1"/>
  <c r="AF291" i="13"/>
  <c r="AB291" i="13"/>
  <c r="AD291" i="13" s="1"/>
  <c r="AD137" i="13"/>
  <c r="AD139" i="13"/>
  <c r="AA140" i="13"/>
  <c r="AE140" i="13" s="1"/>
  <c r="AB142" i="13"/>
  <c r="AD142" i="13" s="1"/>
  <c r="AD143" i="13"/>
  <c r="AA145" i="13"/>
  <c r="AE145" i="13" s="1"/>
  <c r="AD146" i="13"/>
  <c r="AB147" i="13"/>
  <c r="AH147" i="13" s="1"/>
  <c r="AF147" i="13"/>
  <c r="AD195" i="13"/>
  <c r="E196" i="13"/>
  <c r="AB196" i="13"/>
  <c r="AG196" i="13" s="1"/>
  <c r="AD197" i="13"/>
  <c r="E198" i="13"/>
  <c r="AB198" i="13"/>
  <c r="AG198" i="13" s="1"/>
  <c r="AD199" i="13"/>
  <c r="E200" i="13"/>
  <c r="AB200" i="13"/>
  <c r="AD201" i="13"/>
  <c r="E202" i="13"/>
  <c r="AB202" i="13"/>
  <c r="AG202" i="13" s="1"/>
  <c r="AD203" i="13"/>
  <c r="E204" i="13"/>
  <c r="AB204" i="13"/>
  <c r="AD205" i="13"/>
  <c r="E206" i="13"/>
  <c r="AB206" i="13"/>
  <c r="AD206" i="13" s="1"/>
  <c r="AA207" i="13"/>
  <c r="AD208" i="13"/>
  <c r="AB210" i="13"/>
  <c r="AG210" i="13" s="1"/>
  <c r="AA211" i="13"/>
  <c r="AE211" i="13" s="1"/>
  <c r="AB213" i="13"/>
  <c r="AB220" i="13"/>
  <c r="AD220" i="13" s="1"/>
  <c r="AG224" i="13"/>
  <c r="AA226" i="13"/>
  <c r="AF226" i="13" s="1"/>
  <c r="AB231" i="13"/>
  <c r="AD231" i="13" s="1"/>
  <c r="AH232" i="13"/>
  <c r="AG257" i="13"/>
  <c r="AA257" i="13"/>
  <c r="AH257" i="13" s="1"/>
  <c r="AD144" i="13"/>
  <c r="AD209" i="13"/>
  <c r="AA214" i="13"/>
  <c r="AF214" i="13" s="1"/>
  <c r="AA218" i="13"/>
  <c r="AB223" i="13"/>
  <c r="AD223" i="13" s="1"/>
  <c r="AH224" i="13"/>
  <c r="AA229" i="13"/>
  <c r="AE229" i="13" s="1"/>
  <c r="AB234" i="13"/>
  <c r="AD234" i="13" s="1"/>
  <c r="AB237" i="13"/>
  <c r="AA248" i="13"/>
  <c r="AE248" i="13" s="1"/>
  <c r="AF287" i="13"/>
  <c r="AE287" i="13"/>
  <c r="AE316" i="13"/>
  <c r="AF316" i="13"/>
  <c r="AH212" i="13"/>
  <c r="AA215" i="13"/>
  <c r="AG218" i="13"/>
  <c r="AA221" i="13"/>
  <c r="AF221" i="13" s="1"/>
  <c r="AG229" i="13"/>
  <c r="AB233" i="13"/>
  <c r="AD233" i="13" s="1"/>
  <c r="AB236" i="13"/>
  <c r="AD236" i="13" s="1"/>
  <c r="AB240" i="13"/>
  <c r="AG240" i="13" s="1"/>
  <c r="AA253" i="13"/>
  <c r="AE253" i="13" s="1"/>
  <c r="AB292" i="13"/>
  <c r="AG292" i="13" s="1"/>
  <c r="AA308" i="13"/>
  <c r="AE308" i="13" s="1"/>
  <c r="AB326" i="13"/>
  <c r="AD326" i="13" s="1"/>
  <c r="AD214" i="13"/>
  <c r="AB217" i="13"/>
  <c r="AH217" i="13" s="1"/>
  <c r="AF217" i="13"/>
  <c r="AD218" i="13"/>
  <c r="AA220" i="13"/>
  <c r="AD221" i="13"/>
  <c r="AB222" i="13"/>
  <c r="AG222" i="13" s="1"/>
  <c r="AF222" i="13"/>
  <c r="AA223" i="13"/>
  <c r="AE223" i="13" s="1"/>
  <c r="AB225" i="13"/>
  <c r="AG225" i="13" s="1"/>
  <c r="AF225" i="13"/>
  <c r="AD226" i="13"/>
  <c r="AA228" i="13"/>
  <c r="AF228" i="13" s="1"/>
  <c r="AD229" i="13"/>
  <c r="AB230" i="13"/>
  <c r="AH230" i="13" s="1"/>
  <c r="AF230" i="13"/>
  <c r="AA231" i="13"/>
  <c r="AE231" i="13" s="1"/>
  <c r="AA233" i="13"/>
  <c r="AE233" i="13" s="1"/>
  <c r="AA234" i="13"/>
  <c r="AE234" i="13" s="1"/>
  <c r="AA235" i="13"/>
  <c r="AE235" i="13" s="1"/>
  <c r="AA236" i="13"/>
  <c r="AE236" i="13" s="1"/>
  <c r="AA237" i="13"/>
  <c r="AE237" i="13" s="1"/>
  <c r="AD238" i="13"/>
  <c r="AB239" i="13"/>
  <c r="AD239" i="13" s="1"/>
  <c r="AF239" i="13"/>
  <c r="AA240" i="13"/>
  <c r="AB244" i="13"/>
  <c r="AF246" i="13"/>
  <c r="AB246" i="13"/>
  <c r="AD246" i="13" s="1"/>
  <c r="AE246" i="13"/>
  <c r="AA273" i="13"/>
  <c r="AF273" i="13" s="1"/>
  <c r="AA300" i="13"/>
  <c r="AE300" i="13" s="1"/>
  <c r="AA309" i="13"/>
  <c r="AE309" i="13" s="1"/>
  <c r="AD212" i="13"/>
  <c r="AD216" i="13"/>
  <c r="AD224" i="13"/>
  <c r="AD227" i="13"/>
  <c r="AD232" i="13"/>
  <c r="AA244" i="13"/>
  <c r="AF244" i="13" s="1"/>
  <c r="AA247" i="13"/>
  <c r="AF247" i="13" s="1"/>
  <c r="AB255" i="13"/>
  <c r="AD255" i="13" s="1"/>
  <c r="AA256" i="13"/>
  <c r="AE256" i="13" s="1"/>
  <c r="AB258" i="13"/>
  <c r="AD258" i="13" s="1"/>
  <c r="AF283" i="13"/>
  <c r="AA289" i="13"/>
  <c r="AF298" i="13"/>
  <c r="AB301" i="13"/>
  <c r="AD301" i="13" s="1"/>
  <c r="AA310" i="13"/>
  <c r="AE310" i="13" s="1"/>
  <c r="AA315" i="13"/>
  <c r="AF315" i="13" s="1"/>
  <c r="AG315" i="13"/>
  <c r="AA320" i="13"/>
  <c r="AF320" i="13" s="1"/>
  <c r="AG320" i="13"/>
  <c r="AA325" i="13"/>
  <c r="AE325" i="13" s="1"/>
  <c r="AF243" i="13"/>
  <c r="AB243" i="13"/>
  <c r="AH243" i="13" s="1"/>
  <c r="AH245" i="13"/>
  <c r="AB248" i="13"/>
  <c r="AG248" i="13" s="1"/>
  <c r="AF250" i="13"/>
  <c r="AB250" i="13"/>
  <c r="AD250" i="13" s="1"/>
  <c r="AB253" i="13"/>
  <c r="AD253" i="13" s="1"/>
  <c r="AA254" i="13"/>
  <c r="AF254" i="13" s="1"/>
  <c r="AB256" i="13"/>
  <c r="AG256" i="13" s="1"/>
  <c r="AA259" i="13"/>
  <c r="AF259" i="13" s="1"/>
  <c r="AA261" i="13"/>
  <c r="AE261" i="13" s="1"/>
  <c r="AB282" i="13"/>
  <c r="AG282" i="13" s="1"/>
  <c r="AG290" i="13"/>
  <c r="AA290" i="13"/>
  <c r="AF290" i="13" s="1"/>
  <c r="AB297" i="13"/>
  <c r="AG297" i="13" s="1"/>
  <c r="AA311" i="13"/>
  <c r="AE311" i="13" s="1"/>
  <c r="E318" i="13"/>
  <c r="AC318" i="13"/>
  <c r="AG323" i="13"/>
  <c r="AB159" i="13"/>
  <c r="AG159" i="13" s="1"/>
  <c r="AG272" i="13"/>
  <c r="AG274" i="13"/>
  <c r="AA279" i="13"/>
  <c r="AF279" i="13" s="1"/>
  <c r="AB281" i="13"/>
  <c r="AD281" i="13" s="1"/>
  <c r="AG284" i="13"/>
  <c r="AA293" i="13"/>
  <c r="AE293" i="13" s="1"/>
  <c r="AB296" i="13"/>
  <c r="AD296" i="13" s="1"/>
  <c r="AG299" i="13"/>
  <c r="AA301" i="13"/>
  <c r="AG303" i="13"/>
  <c r="AB314" i="13"/>
  <c r="AG314" i="13" s="1"/>
  <c r="AA323" i="13"/>
  <c r="AF323" i="13" s="1"/>
  <c r="AA324" i="13"/>
  <c r="AF324" i="13" s="1"/>
  <c r="AG324" i="13"/>
  <c r="AB330" i="13"/>
  <c r="AG330" i="13" s="1"/>
  <c r="AB115" i="13"/>
  <c r="AD115" i="13" s="1"/>
  <c r="AB151" i="13"/>
  <c r="AG151" i="13" s="1"/>
  <c r="AB154" i="13"/>
  <c r="AD242" i="13"/>
  <c r="AD247" i="13"/>
  <c r="AD251" i="13"/>
  <c r="AD254" i="13"/>
  <c r="AD259" i="13"/>
  <c r="AD272" i="13"/>
  <c r="AD274" i="13"/>
  <c r="AD279" i="13"/>
  <c r="AA281" i="13"/>
  <c r="AE281" i="13" s="1"/>
  <c r="AA282" i="13"/>
  <c r="AB285" i="13"/>
  <c r="AD285" i="13" s="1"/>
  <c r="AG287" i="13"/>
  <c r="AH287" i="13"/>
  <c r="AD293" i="13"/>
  <c r="AA296" i="13"/>
  <c r="AE296" i="13" s="1"/>
  <c r="AA297" i="13"/>
  <c r="AE297" i="13" s="1"/>
  <c r="AB300" i="13"/>
  <c r="AD300" i="13" s="1"/>
  <c r="AH303" i="13"/>
  <c r="AE303" i="13"/>
  <c r="AA312" i="13"/>
  <c r="AE312" i="13" s="1"/>
  <c r="AA314" i="13"/>
  <c r="AE314" i="13" s="1"/>
  <c r="AG316" i="13"/>
  <c r="AA327" i="13"/>
  <c r="AF327" i="13" s="1"/>
  <c r="AG327" i="13"/>
  <c r="AA328" i="13"/>
  <c r="AF328" i="13" s="1"/>
  <c r="AG328" i="13"/>
  <c r="AF307" i="13"/>
  <c r="AB307" i="13"/>
  <c r="AH307" i="13" s="1"/>
  <c r="AD245" i="13"/>
  <c r="AD249" i="13"/>
  <c r="AD257" i="13"/>
  <c r="AD260" i="13"/>
  <c r="AB261" i="13"/>
  <c r="AA272" i="13"/>
  <c r="AF272" i="13" s="1"/>
  <c r="AB273" i="13"/>
  <c r="AG273" i="13" s="1"/>
  <c r="AA274" i="13"/>
  <c r="AF274" i="13" s="1"/>
  <c r="AB280" i="13"/>
  <c r="AH280" i="13" s="1"/>
  <c r="AH283" i="13"/>
  <c r="AA285" i="13"/>
  <c r="AE285" i="13" s="1"/>
  <c r="AF288" i="13"/>
  <c r="AB288" i="13"/>
  <c r="AG288" i="13" s="1"/>
  <c r="AB295" i="13"/>
  <c r="AH295" i="13" s="1"/>
  <c r="AH298" i="13"/>
  <c r="AA302" i="13"/>
  <c r="AF302" i="13" s="1"/>
  <c r="AB308" i="13"/>
  <c r="AD308" i="13" s="1"/>
  <c r="AB309" i="13"/>
  <c r="AD309" i="13" s="1"/>
  <c r="AB310" i="13"/>
  <c r="AD310" i="13" s="1"/>
  <c r="AB311" i="13"/>
  <c r="AD311" i="13" s="1"/>
  <c r="AF313" i="13"/>
  <c r="AB313" i="13"/>
  <c r="AH313" i="13" s="1"/>
  <c r="AH316" i="13"/>
  <c r="AB322" i="13"/>
  <c r="AD322" i="13" s="1"/>
  <c r="AA329" i="13"/>
  <c r="AE329" i="13" s="1"/>
  <c r="AC331" i="13"/>
  <c r="AA331" i="13" s="1"/>
  <c r="AF331" i="13" s="1"/>
  <c r="AB110" i="13"/>
  <c r="AG110" i="13" s="1"/>
  <c r="AE132" i="13"/>
  <c r="AA134" i="13"/>
  <c r="AG167" i="13"/>
  <c r="AA167" i="13"/>
  <c r="AF167" i="13" s="1"/>
  <c r="E178" i="13"/>
  <c r="AC178" i="13"/>
  <c r="AD283" i="13"/>
  <c r="AD290" i="13"/>
  <c r="AD294" i="13"/>
  <c r="AD298" i="13"/>
  <c r="AD302" i="13"/>
  <c r="AD312" i="13"/>
  <c r="AD315" i="13"/>
  <c r="AB317" i="13"/>
  <c r="AH317" i="13" s="1"/>
  <c r="AF317" i="13"/>
  <c r="AD318" i="13"/>
  <c r="AB321" i="13"/>
  <c r="AA322" i="13"/>
  <c r="AD323" i="13"/>
  <c r="AB325" i="13"/>
  <c r="AG325" i="13" s="1"/>
  <c r="AA326" i="13"/>
  <c r="AD327" i="13"/>
  <c r="AB329" i="13"/>
  <c r="AG329" i="13" s="1"/>
  <c r="AA330" i="13"/>
  <c r="AE330" i="13" s="1"/>
  <c r="AA110" i="13"/>
  <c r="AE110" i="13" s="1"/>
  <c r="AA111" i="13"/>
  <c r="AE111" i="13" s="1"/>
  <c r="AF114" i="13"/>
  <c r="AB114" i="13"/>
  <c r="AH114" i="13" s="1"/>
  <c r="AE114" i="13"/>
  <c r="AG133" i="13"/>
  <c r="AH133" i="13"/>
  <c r="AB149" i="13"/>
  <c r="AA151" i="13"/>
  <c r="AF151" i="13" s="1"/>
  <c r="AG153" i="13"/>
  <c r="AA156" i="13"/>
  <c r="AF156" i="13" s="1"/>
  <c r="AA159" i="13"/>
  <c r="AE159" i="13" s="1"/>
  <c r="AB172" i="13"/>
  <c r="AG172" i="13" s="1"/>
  <c r="AD303" i="13"/>
  <c r="AD316" i="13"/>
  <c r="AD320" i="13"/>
  <c r="AD324" i="13"/>
  <c r="AD328" i="13"/>
  <c r="AH112" i="13"/>
  <c r="AE113" i="13"/>
  <c r="AA115" i="13"/>
  <c r="AB134" i="13"/>
  <c r="AG134" i="13" s="1"/>
  <c r="AB150" i="13"/>
  <c r="AG150" i="13" s="1"/>
  <c r="AH153" i="13"/>
  <c r="AB155" i="13"/>
  <c r="AD155" i="13" s="1"/>
  <c r="AB158" i="13"/>
  <c r="AD158" i="13" s="1"/>
  <c r="E170" i="13"/>
  <c r="AC170" i="13"/>
  <c r="AA170" i="13" s="1"/>
  <c r="AG175" i="13"/>
  <c r="AA175" i="13"/>
  <c r="AF175" i="13" s="1"/>
  <c r="AA135" i="13"/>
  <c r="AF135" i="13" s="1"/>
  <c r="AA152" i="13"/>
  <c r="AF152" i="13" s="1"/>
  <c r="AA155" i="13"/>
  <c r="AG157" i="13"/>
  <c r="AG306" i="13"/>
  <c r="AA306" i="13"/>
  <c r="AF306" i="13" s="1"/>
  <c r="AB164" i="13"/>
  <c r="AD164" i="13" s="1"/>
  <c r="AB180" i="13"/>
  <c r="AG180" i="13" s="1"/>
  <c r="AD112" i="13"/>
  <c r="AD152" i="13"/>
  <c r="AD156" i="13"/>
  <c r="AD306" i="13"/>
  <c r="E168" i="13"/>
  <c r="AA168" i="13"/>
  <c r="AE168" i="13" s="1"/>
  <c r="AB170" i="13"/>
  <c r="AD170" i="13" s="1"/>
  <c r="AG173" i="13"/>
  <c r="E176" i="13"/>
  <c r="AA176" i="13"/>
  <c r="AF176" i="13" s="1"/>
  <c r="AB178" i="13"/>
  <c r="AD178" i="13" s="1"/>
  <c r="AD153" i="13"/>
  <c r="AD157" i="13"/>
  <c r="E166" i="13"/>
  <c r="AA166" i="13"/>
  <c r="AE166" i="13" s="1"/>
  <c r="AB168" i="13"/>
  <c r="AD168" i="13" s="1"/>
  <c r="E174" i="13"/>
  <c r="AA174" i="13"/>
  <c r="AE174" i="13" s="1"/>
  <c r="AB176" i="13"/>
  <c r="AD176" i="13" s="1"/>
  <c r="AE179" i="13"/>
  <c r="E164" i="13"/>
  <c r="AA164" i="13"/>
  <c r="AB166" i="13"/>
  <c r="AD166" i="13" s="1"/>
  <c r="E172" i="13"/>
  <c r="AA172" i="13"/>
  <c r="AE172" i="13" s="1"/>
  <c r="AB174" i="13"/>
  <c r="AG174" i="13" s="1"/>
  <c r="AE177" i="13"/>
  <c r="AH179" i="13"/>
  <c r="E180" i="13"/>
  <c r="AA180" i="13"/>
  <c r="AD165" i="13"/>
  <c r="AD167" i="13"/>
  <c r="AD171" i="13"/>
  <c r="AD173" i="13"/>
  <c r="AD175" i="13"/>
  <c r="AD179" i="13"/>
  <c r="AD181" i="13"/>
  <c r="I62" i="8"/>
  <c r="E75" i="7"/>
  <c r="D75" i="7"/>
  <c r="E74" i="7"/>
  <c r="D74" i="7"/>
  <c r="E73" i="7"/>
  <c r="D73" i="7"/>
  <c r="Z73" i="7"/>
  <c r="AB73" i="7" s="1"/>
  <c r="AC73" i="7"/>
  <c r="AA73" i="7" s="1"/>
  <c r="Z74" i="7"/>
  <c r="AB74" i="7" s="1"/>
  <c r="AD74" i="7" s="1"/>
  <c r="AC74" i="7"/>
  <c r="Z75" i="7"/>
  <c r="AC75" i="7"/>
  <c r="AA75" i="7" s="1"/>
  <c r="I31" i="8"/>
  <c r="I36" i="8"/>
  <c r="P6" i="7"/>
  <c r="Z6" i="7" s="1"/>
  <c r="Q6" i="7"/>
  <c r="AC6" i="7" s="1"/>
  <c r="AA6" i="7" s="1"/>
  <c r="AE6" i="7" s="1"/>
  <c r="AC35" i="7"/>
  <c r="AA35" i="7" s="1"/>
  <c r="AE35" i="7" s="1"/>
  <c r="Z35" i="7"/>
  <c r="I15" i="8"/>
  <c r="E6" i="7"/>
  <c r="D6" i="7"/>
  <c r="D35" i="7"/>
  <c r="I2" i="8"/>
  <c r="AF4" i="14" l="1"/>
  <c r="AD21" i="14"/>
  <c r="AH17" i="14"/>
  <c r="AF10" i="14"/>
  <c r="AD10" i="14"/>
  <c r="AH4" i="14"/>
  <c r="AH13" i="14"/>
  <c r="AH19" i="14"/>
  <c r="AH12" i="14"/>
  <c r="AD8" i="14"/>
  <c r="AD6" i="14"/>
  <c r="AF8" i="14"/>
  <c r="AG21" i="14"/>
  <c r="AH18" i="14"/>
  <c r="AH8" i="14"/>
  <c r="AH6" i="14"/>
  <c r="AD4" i="14"/>
  <c r="AH189" i="13"/>
  <c r="AE189" i="13"/>
  <c r="AE171" i="13"/>
  <c r="AH289" i="13"/>
  <c r="AG85" i="13"/>
  <c r="AH154" i="13"/>
  <c r="AH173" i="13"/>
  <c r="AF158" i="13"/>
  <c r="AF154" i="13"/>
  <c r="AE294" i="13"/>
  <c r="AD225" i="13"/>
  <c r="AD286" i="13"/>
  <c r="AD177" i="13"/>
  <c r="AH249" i="13"/>
  <c r="AD132" i="13"/>
  <c r="AG165" i="13"/>
  <c r="AF258" i="13"/>
  <c r="AH132" i="13"/>
  <c r="AH294" i="13"/>
  <c r="AH165" i="13"/>
  <c r="AH149" i="13"/>
  <c r="AG131" i="13"/>
  <c r="AE169" i="13"/>
  <c r="AE165" i="13"/>
  <c r="AD148" i="13"/>
  <c r="AE249" i="13"/>
  <c r="AF311" i="13"/>
  <c r="AF248" i="13"/>
  <c r="AH242" i="13"/>
  <c r="AH82" i="13"/>
  <c r="AG289" i="13"/>
  <c r="AE82" i="13"/>
  <c r="AF200" i="13"/>
  <c r="AG145" i="13"/>
  <c r="AG169" i="13"/>
  <c r="AF202" i="13"/>
  <c r="AF213" i="13"/>
  <c r="AF292" i="13"/>
  <c r="AE173" i="13"/>
  <c r="AG149" i="13"/>
  <c r="AH220" i="13"/>
  <c r="AF198" i="13"/>
  <c r="AD27" i="13"/>
  <c r="AD219" i="13"/>
  <c r="AF107" i="13"/>
  <c r="AG246" i="13"/>
  <c r="AF255" i="13"/>
  <c r="AG177" i="13"/>
  <c r="AG219" i="13"/>
  <c r="AF206" i="13"/>
  <c r="AG215" i="13"/>
  <c r="AG136" i="13"/>
  <c r="AG88" i="13"/>
  <c r="AG228" i="13"/>
  <c r="AF108" i="13"/>
  <c r="AF37" i="13"/>
  <c r="AH23" i="13"/>
  <c r="AD161" i="13"/>
  <c r="AF325" i="13"/>
  <c r="AF308" i="13"/>
  <c r="AH260" i="13"/>
  <c r="AH226" i="13"/>
  <c r="AD196" i="13"/>
  <c r="AH238" i="13"/>
  <c r="AH39" i="13"/>
  <c r="AE260" i="13"/>
  <c r="AH213" i="13"/>
  <c r="AG64" i="13"/>
  <c r="AG301" i="13"/>
  <c r="AH241" i="13"/>
  <c r="AF149" i="13"/>
  <c r="AF101" i="13"/>
  <c r="AH115" i="13"/>
  <c r="AF204" i="13"/>
  <c r="AH86" i="13"/>
  <c r="AE190" i="13"/>
  <c r="AH323" i="13"/>
  <c r="AD118" i="13"/>
  <c r="AG73" i="13"/>
  <c r="AE41" i="13"/>
  <c r="AH301" i="13"/>
  <c r="AH83" i="13"/>
  <c r="AH171" i="13"/>
  <c r="AH315" i="13"/>
  <c r="AE241" i="13"/>
  <c r="AG181" i="13"/>
  <c r="AF150" i="13"/>
  <c r="AH209" i="13"/>
  <c r="AD183" i="13"/>
  <c r="AG63" i="13"/>
  <c r="AF55" i="13"/>
  <c r="AE176" i="13"/>
  <c r="AH167" i="13"/>
  <c r="AG154" i="13"/>
  <c r="AH326" i="13"/>
  <c r="AG326" i="13"/>
  <c r="AF300" i="13"/>
  <c r="AF142" i="13"/>
  <c r="AH126" i="13"/>
  <c r="AD29" i="13"/>
  <c r="AG57" i="13"/>
  <c r="AG87" i="13"/>
  <c r="AH41" i="13"/>
  <c r="AH253" i="13"/>
  <c r="AF196" i="13"/>
  <c r="AD330" i="13"/>
  <c r="AH281" i="13"/>
  <c r="AF174" i="13"/>
  <c r="AH180" i="13"/>
  <c r="AD329" i="13"/>
  <c r="AD222" i="13"/>
  <c r="AE193" i="13"/>
  <c r="AF181" i="13"/>
  <c r="AE181" i="13"/>
  <c r="AH181" i="13"/>
  <c r="AE306" i="13"/>
  <c r="AH135" i="13"/>
  <c r="AH311" i="13"/>
  <c r="AH56" i="13"/>
  <c r="AE23" i="13"/>
  <c r="AE135" i="13"/>
  <c r="AH164" i="13"/>
  <c r="AH158" i="13"/>
  <c r="AD149" i="13"/>
  <c r="AE156" i="13"/>
  <c r="AH240" i="13"/>
  <c r="AG234" i="13"/>
  <c r="AH134" i="13"/>
  <c r="AF309" i="13"/>
  <c r="AH279" i="13"/>
  <c r="AH64" i="13"/>
  <c r="AH162" i="13"/>
  <c r="AH87" i="13"/>
  <c r="AF45" i="13"/>
  <c r="AE148" i="13"/>
  <c r="AH321" i="13"/>
  <c r="AG33" i="13"/>
  <c r="AH161" i="13"/>
  <c r="AE96" i="13"/>
  <c r="AH320" i="13"/>
  <c r="AH237" i="13"/>
  <c r="AH291" i="13"/>
  <c r="AE97" i="13"/>
  <c r="AE24" i="13"/>
  <c r="AE157" i="13"/>
  <c r="AG281" i="13"/>
  <c r="AD97" i="13"/>
  <c r="AF109" i="13"/>
  <c r="AE184" i="13"/>
  <c r="AE47" i="13"/>
  <c r="AE39" i="13"/>
  <c r="AH24" i="13"/>
  <c r="AG164" i="13"/>
  <c r="AG321" i="13"/>
  <c r="AG311" i="13"/>
  <c r="AD297" i="13"/>
  <c r="AE315" i="13"/>
  <c r="AD108" i="13"/>
  <c r="AE104" i="13"/>
  <c r="AF188" i="13"/>
  <c r="AH29" i="13"/>
  <c r="AH148" i="13"/>
  <c r="AG241" i="13"/>
  <c r="AH155" i="13"/>
  <c r="AD317" i="13"/>
  <c r="AD307" i="13"/>
  <c r="AH292" i="13"/>
  <c r="AF237" i="13"/>
  <c r="AE146" i="13"/>
  <c r="AH199" i="13"/>
  <c r="AD106" i="13"/>
  <c r="AE64" i="13"/>
  <c r="AH19" i="13"/>
  <c r="AE187" i="13"/>
  <c r="AH75" i="13"/>
  <c r="AH32" i="13"/>
  <c r="AE95" i="13"/>
  <c r="AE43" i="13"/>
  <c r="AE242" i="13"/>
  <c r="AH322" i="13"/>
  <c r="AE134" i="13"/>
  <c r="AF110" i="13"/>
  <c r="AD154" i="13"/>
  <c r="AH248" i="13"/>
  <c r="AD292" i="13"/>
  <c r="AH106" i="13"/>
  <c r="AH11" i="13"/>
  <c r="AH188" i="13"/>
  <c r="AH67" i="13"/>
  <c r="AH58" i="13"/>
  <c r="AE160" i="13"/>
  <c r="AF161" i="13"/>
  <c r="AH169" i="13"/>
  <c r="AG258" i="13"/>
  <c r="AG204" i="13"/>
  <c r="AD204" i="13"/>
  <c r="AD69" i="13"/>
  <c r="AG69" i="13"/>
  <c r="AG60" i="13"/>
  <c r="AH60" i="13"/>
  <c r="AH51" i="13"/>
  <c r="AG51" i="13"/>
  <c r="AD79" i="13"/>
  <c r="AG79" i="13"/>
  <c r="AH36" i="13"/>
  <c r="AE36" i="13"/>
  <c r="AG28" i="13"/>
  <c r="AD28" i="13"/>
  <c r="AG25" i="13"/>
  <c r="AD25" i="13"/>
  <c r="AF166" i="13"/>
  <c r="AH176" i="13"/>
  <c r="AF168" i="13"/>
  <c r="AD180" i="13"/>
  <c r="AE155" i="13"/>
  <c r="AF155" i="13"/>
  <c r="AE151" i="13"/>
  <c r="AH111" i="13"/>
  <c r="AF329" i="13"/>
  <c r="AH328" i="13"/>
  <c r="AH309" i="13"/>
  <c r="AH296" i="13"/>
  <c r="AH261" i="13"/>
  <c r="AG155" i="13"/>
  <c r="AE328" i="13"/>
  <c r="AH290" i="13"/>
  <c r="AH300" i="13"/>
  <c r="AF235" i="13"/>
  <c r="AH235" i="13"/>
  <c r="AH223" i="13"/>
  <c r="AE220" i="13"/>
  <c r="AD147" i="13"/>
  <c r="AH21" i="13"/>
  <c r="AD7" i="13"/>
  <c r="AH7" i="13"/>
  <c r="AH5" i="13"/>
  <c r="AD26" i="13"/>
  <c r="AD192" i="13"/>
  <c r="AG192" i="13"/>
  <c r="AH107" i="13"/>
  <c r="AD107" i="13"/>
  <c r="AD74" i="13"/>
  <c r="AG74" i="13"/>
  <c r="AF44" i="13"/>
  <c r="AF36" i="13"/>
  <c r="AE85" i="13"/>
  <c r="AH85" i="13"/>
  <c r="AE65" i="13"/>
  <c r="AH65" i="13"/>
  <c r="AH186" i="13"/>
  <c r="AE186" i="13"/>
  <c r="AH46" i="13"/>
  <c r="AE46" i="13"/>
  <c r="AH38" i="13"/>
  <c r="AE38" i="13"/>
  <c r="AE105" i="13"/>
  <c r="AF105" i="13"/>
  <c r="AD86" i="13"/>
  <c r="AG86" i="13"/>
  <c r="AE118" i="13"/>
  <c r="AF118" i="13"/>
  <c r="AF312" i="13"/>
  <c r="AH312" i="13"/>
  <c r="AF164" i="13"/>
  <c r="AD48" i="13"/>
  <c r="AH48" i="13"/>
  <c r="AG48" i="13"/>
  <c r="AG38" i="13"/>
  <c r="AD38" i="13"/>
  <c r="AD100" i="13"/>
  <c r="AG100" i="13"/>
  <c r="AF99" i="13"/>
  <c r="AE99" i="13"/>
  <c r="AF120" i="13"/>
  <c r="AE120" i="13"/>
  <c r="AF54" i="13"/>
  <c r="AE54" i="13"/>
  <c r="AH40" i="13"/>
  <c r="AE40" i="13"/>
  <c r="AG250" i="13"/>
  <c r="AH225" i="13"/>
  <c r="AD288" i="13"/>
  <c r="AD235" i="13"/>
  <c r="AG235" i="13"/>
  <c r="AG101" i="13"/>
  <c r="AH101" i="13"/>
  <c r="AG80" i="13"/>
  <c r="AD80" i="13"/>
  <c r="AH166" i="13"/>
  <c r="AH156" i="13"/>
  <c r="AH150" i="13"/>
  <c r="AD321" i="13"/>
  <c r="AH310" i="13"/>
  <c r="AG291" i="13"/>
  <c r="AH282" i="13"/>
  <c r="AD150" i="13"/>
  <c r="AF296" i="13"/>
  <c r="AD159" i="13"/>
  <c r="AE323" i="13"/>
  <c r="AE290" i="13"/>
  <c r="AH256" i="13"/>
  <c r="AH272" i="13"/>
  <c r="AH258" i="13"/>
  <c r="AH255" i="13"/>
  <c r="AG255" i="13"/>
  <c r="AE240" i="13"/>
  <c r="AH236" i="13"/>
  <c r="AH233" i="13"/>
  <c r="AH231" i="13"/>
  <c r="AE228" i="13"/>
  <c r="AD202" i="13"/>
  <c r="AD237" i="13"/>
  <c r="AG237" i="13"/>
  <c r="AH222" i="13"/>
  <c r="AF210" i="13"/>
  <c r="AH228" i="13"/>
  <c r="AF137" i="13"/>
  <c r="AH137" i="13"/>
  <c r="AG129" i="13"/>
  <c r="AF76" i="13"/>
  <c r="AD15" i="13"/>
  <c r="AH15" i="13"/>
  <c r="AH13" i="13"/>
  <c r="AG190" i="13"/>
  <c r="AH190" i="13"/>
  <c r="AE87" i="13"/>
  <c r="AD71" i="13"/>
  <c r="AH71" i="13"/>
  <c r="AH69" i="13"/>
  <c r="AD66" i="13"/>
  <c r="AG66" i="13"/>
  <c r="AG95" i="13"/>
  <c r="AD95" i="13"/>
  <c r="AH88" i="13"/>
  <c r="AE88" i="13"/>
  <c r="AE119" i="13"/>
  <c r="AF119" i="13"/>
  <c r="AH42" i="13"/>
  <c r="AF42" i="13"/>
  <c r="AE42" i="13"/>
  <c r="AG36" i="13"/>
  <c r="AF117" i="13"/>
  <c r="AH117" i="13"/>
  <c r="AE117" i="13"/>
  <c r="AD76" i="13"/>
  <c r="AH192" i="13"/>
  <c r="AH17" i="13"/>
  <c r="AH9" i="13"/>
  <c r="AH184" i="13"/>
  <c r="AH124" i="13"/>
  <c r="AA81" i="13"/>
  <c r="AF81" i="13" s="1"/>
  <c r="AH73" i="13"/>
  <c r="AH62" i="13"/>
  <c r="AH50" i="13"/>
  <c r="AD42" i="13"/>
  <c r="AH55" i="13"/>
  <c r="AH45" i="13"/>
  <c r="AH37" i="13"/>
  <c r="AG27" i="13"/>
  <c r="AD23" i="13"/>
  <c r="AD113" i="13"/>
  <c r="AH131" i="13"/>
  <c r="AH122" i="13"/>
  <c r="AG68" i="13"/>
  <c r="AH116" i="13"/>
  <c r="AG113" i="13"/>
  <c r="AG286" i="13"/>
  <c r="AH157" i="13"/>
  <c r="AE321" i="13"/>
  <c r="AF131" i="13"/>
  <c r="AH83" i="7"/>
  <c r="AD83" i="7"/>
  <c r="AE83" i="7"/>
  <c r="AF83" i="7"/>
  <c r="AH20" i="14"/>
  <c r="AE19" i="14"/>
  <c r="AE15" i="14"/>
  <c r="AF17" i="14"/>
  <c r="AH15" i="14"/>
  <c r="AE13" i="14"/>
  <c r="AE6" i="14"/>
  <c r="AH10" i="14"/>
  <c r="AD5" i="14"/>
  <c r="AG19" i="14"/>
  <c r="AF11" i="14"/>
  <c r="AG11" i="14"/>
  <c r="AA7" i="14"/>
  <c r="AF7" i="14" s="1"/>
  <c r="AG7" i="14"/>
  <c r="AH5" i="14"/>
  <c r="AE14" i="14"/>
  <c r="AF19" i="14"/>
  <c r="AE18" i="14"/>
  <c r="AE12" i="14"/>
  <c r="AF14" i="14"/>
  <c r="AA9" i="14"/>
  <c r="AF9" i="14" s="1"/>
  <c r="AG9" i="14"/>
  <c r="AF170" i="13"/>
  <c r="AH170" i="13"/>
  <c r="AH174" i="13"/>
  <c r="AH168" i="13"/>
  <c r="AG307" i="13"/>
  <c r="AH306" i="13"/>
  <c r="AG176" i="13"/>
  <c r="AD325" i="13"/>
  <c r="AE180" i="13"/>
  <c r="AE164" i="13"/>
  <c r="AF134" i="13"/>
  <c r="AD172" i="13"/>
  <c r="AE167" i="13"/>
  <c r="AD110" i="13"/>
  <c r="AG331" i="13"/>
  <c r="AH331" i="13"/>
  <c r="AE331" i="13"/>
  <c r="AH327" i="13"/>
  <c r="AF322" i="13"/>
  <c r="AD314" i="13"/>
  <c r="AF310" i="13"/>
  <c r="AH308" i="13"/>
  <c r="AG158" i="13"/>
  <c r="AF111" i="13"/>
  <c r="AH324" i="13"/>
  <c r="AD151" i="13"/>
  <c r="AH325" i="13"/>
  <c r="AH314" i="13"/>
  <c r="AH293" i="13"/>
  <c r="AH288" i="13"/>
  <c r="AF281" i="13"/>
  <c r="AE279" i="13"/>
  <c r="AD273" i="13"/>
  <c r="AD261" i="13"/>
  <c r="AF159" i="13"/>
  <c r="AH297" i="13"/>
  <c r="AD282" i="13"/>
  <c r="AF256" i="13"/>
  <c r="AF253" i="13"/>
  <c r="AD217" i="13"/>
  <c r="AG295" i="13"/>
  <c r="AG300" i="13"/>
  <c r="AE273" i="13"/>
  <c r="AH244" i="13"/>
  <c r="AH234" i="13"/>
  <c r="AF326" i="13"/>
  <c r="AE254" i="13"/>
  <c r="AF240" i="13"/>
  <c r="AF236" i="13"/>
  <c r="AE221" i="13"/>
  <c r="AH214" i="13"/>
  <c r="AD198" i="13"/>
  <c r="AH250" i="13"/>
  <c r="AF234" i="13"/>
  <c r="AF229" i="13"/>
  <c r="AH229" i="13"/>
  <c r="AG220" i="13"/>
  <c r="AE272" i="13"/>
  <c r="AF261" i="13"/>
  <c r="AF257" i="13"/>
  <c r="AE257" i="13"/>
  <c r="AD248" i="13"/>
  <c r="AF220" i="13"/>
  <c r="AF145" i="13"/>
  <c r="AH145" i="13"/>
  <c r="AF251" i="13"/>
  <c r="AE251" i="13"/>
  <c r="AH202" i="13"/>
  <c r="AF203" i="13"/>
  <c r="AE203" i="13"/>
  <c r="AH203" i="13"/>
  <c r="AE214" i="13"/>
  <c r="AF208" i="13"/>
  <c r="AH208" i="13"/>
  <c r="AE208" i="13"/>
  <c r="AG197" i="13"/>
  <c r="AA197" i="13"/>
  <c r="AF197" i="13" s="1"/>
  <c r="AG166" i="13"/>
  <c r="AG178" i="13"/>
  <c r="AF115" i="13"/>
  <c r="AH330" i="13"/>
  <c r="AE326" i="13"/>
  <c r="AH172" i="13"/>
  <c r="AF330" i="13"/>
  <c r="AH302" i="13"/>
  <c r="AF285" i="13"/>
  <c r="AD280" i="13"/>
  <c r="AH159" i="13"/>
  <c r="AH285" i="13"/>
  <c r="AH274" i="13"/>
  <c r="AG280" i="13"/>
  <c r="AD313" i="13"/>
  <c r="AG296" i="13"/>
  <c r="AD244" i="13"/>
  <c r="AG244" i="13"/>
  <c r="AF293" i="13"/>
  <c r="AG253" i="13"/>
  <c r="AH239" i="13"/>
  <c r="AF215" i="13"/>
  <c r="AH215" i="13"/>
  <c r="AH259" i="13"/>
  <c r="AF218" i="13"/>
  <c r="AH218" i="13"/>
  <c r="AE259" i="13"/>
  <c r="AH246" i="13"/>
  <c r="AG239" i="13"/>
  <c r="AH206" i="13"/>
  <c r="AG206" i="13"/>
  <c r="AH200" i="13"/>
  <c r="AG200" i="13"/>
  <c r="AD174" i="13"/>
  <c r="AD240" i="13"/>
  <c r="AG233" i="13"/>
  <c r="AG236" i="13"/>
  <c r="AG147" i="13"/>
  <c r="AH210" i="13"/>
  <c r="AF205" i="13"/>
  <c r="AH205" i="13"/>
  <c r="AH175" i="13"/>
  <c r="AE115" i="13"/>
  <c r="AF172" i="13"/>
  <c r="AA178" i="13"/>
  <c r="AE178" i="13" s="1"/>
  <c r="AG317" i="13"/>
  <c r="AE302" i="13"/>
  <c r="AD134" i="13"/>
  <c r="AH329" i="13"/>
  <c r="AE322" i="13"/>
  <c r="AE282" i="13"/>
  <c r="AF314" i="13"/>
  <c r="AG318" i="13"/>
  <c r="AE320" i="13"/>
  <c r="AG310" i="13"/>
  <c r="AF301" i="13"/>
  <c r="AE244" i="13"/>
  <c r="AG309" i="13"/>
  <c r="AE274" i="13"/>
  <c r="AG308" i="13"/>
  <c r="AG285" i="13"/>
  <c r="AG223" i="13"/>
  <c r="AE215" i="13"/>
  <c r="AH247" i="13"/>
  <c r="AF223" i="13"/>
  <c r="AE218" i="13"/>
  <c r="AF282" i="13"/>
  <c r="AD256" i="13"/>
  <c r="AD243" i="13"/>
  <c r="AF231" i="13"/>
  <c r="AE226" i="13"/>
  <c r="AH221" i="13"/>
  <c r="AF140" i="13"/>
  <c r="AH140" i="13"/>
  <c r="AF297" i="13"/>
  <c r="AG261" i="13"/>
  <c r="AH254" i="13"/>
  <c r="AD207" i="13"/>
  <c r="AG207" i="13"/>
  <c r="AF128" i="13"/>
  <c r="AE128" i="13"/>
  <c r="AH128" i="13"/>
  <c r="AG105" i="13"/>
  <c r="AH105" i="13"/>
  <c r="AF201" i="13"/>
  <c r="AH201" i="13"/>
  <c r="AF180" i="13"/>
  <c r="AE152" i="13"/>
  <c r="AE170" i="13"/>
  <c r="AG170" i="13"/>
  <c r="AG168" i="13"/>
  <c r="AH152" i="13"/>
  <c r="AG114" i="13"/>
  <c r="AD114" i="13"/>
  <c r="AH151" i="13"/>
  <c r="AH110" i="13"/>
  <c r="AE175" i="13"/>
  <c r="AG115" i="13"/>
  <c r="AG322" i="13"/>
  <c r="AE327" i="13"/>
  <c r="AE324" i="13"/>
  <c r="AG313" i="13"/>
  <c r="AE301" i="13"/>
  <c r="AD295" i="13"/>
  <c r="AH273" i="13"/>
  <c r="AA318" i="13"/>
  <c r="AE318" i="13" s="1"/>
  <c r="AD230" i="13"/>
  <c r="AE289" i="13"/>
  <c r="AE247" i="13"/>
  <c r="AG243" i="13"/>
  <c r="AF233" i="13"/>
  <c r="AG230" i="13"/>
  <c r="AD210" i="13"/>
  <c r="AD200" i="13"/>
  <c r="AG231" i="13"/>
  <c r="AG217" i="13"/>
  <c r="AD213" i="13"/>
  <c r="AG213" i="13"/>
  <c r="AH211" i="13"/>
  <c r="AF211" i="13"/>
  <c r="AH207" i="13"/>
  <c r="AE207" i="13"/>
  <c r="AF207" i="13"/>
  <c r="AH142" i="13"/>
  <c r="AG142" i="13"/>
  <c r="AF289" i="13"/>
  <c r="AF143" i="13"/>
  <c r="AE143" i="13"/>
  <c r="AH143" i="13"/>
  <c r="AF139" i="13"/>
  <c r="AE139" i="13"/>
  <c r="AH139" i="13"/>
  <c r="AD105" i="13"/>
  <c r="AG84" i="13"/>
  <c r="AA84" i="13"/>
  <c r="AF84" i="13" s="1"/>
  <c r="AE238" i="13"/>
  <c r="AH146" i="13"/>
  <c r="AH136" i="13"/>
  <c r="AE209" i="13"/>
  <c r="AH198" i="13"/>
  <c r="AH108" i="13"/>
  <c r="AG102" i="13"/>
  <c r="AH97" i="13"/>
  <c r="AH80" i="13"/>
  <c r="AH76" i="13"/>
  <c r="AF129" i="13"/>
  <c r="AE100" i="13"/>
  <c r="AH20" i="13"/>
  <c r="AH16" i="13"/>
  <c r="AH12" i="13"/>
  <c r="AH8" i="13"/>
  <c r="AH4" i="13"/>
  <c r="AE163" i="13"/>
  <c r="AG163" i="13"/>
  <c r="AD127" i="13"/>
  <c r="AD123" i="13"/>
  <c r="AE103" i="13"/>
  <c r="AF80" i="13"/>
  <c r="AG61" i="13"/>
  <c r="AH100" i="13"/>
  <c r="AH74" i="13"/>
  <c r="AH70" i="13"/>
  <c r="AH66" i="13"/>
  <c r="AH61" i="13"/>
  <c r="AH57" i="13"/>
  <c r="AH49" i="13"/>
  <c r="AH33" i="13"/>
  <c r="AE194" i="13"/>
  <c r="AE126" i="13"/>
  <c r="AF122" i="13"/>
  <c r="AE79" i="13"/>
  <c r="AG70" i="13"/>
  <c r="AF65" i="13"/>
  <c r="AG49" i="13"/>
  <c r="AD43" i="13"/>
  <c r="AE195" i="13"/>
  <c r="AH103" i="13"/>
  <c r="AH98" i="13"/>
  <c r="AF85" i="13"/>
  <c r="AG21" i="13"/>
  <c r="AG17" i="13"/>
  <c r="AG13" i="13"/>
  <c r="AG9" i="13"/>
  <c r="AG5" i="13"/>
  <c r="AG62" i="13"/>
  <c r="AD120" i="13"/>
  <c r="AD45" i="13"/>
  <c r="AD39" i="13"/>
  <c r="AG32" i="13"/>
  <c r="AH193" i="13"/>
  <c r="AD40" i="13"/>
  <c r="AD16" i="13"/>
  <c r="AG96" i="13"/>
  <c r="AF88" i="13"/>
  <c r="AD63" i="13"/>
  <c r="AD51" i="13"/>
  <c r="AG160" i="13"/>
  <c r="AG124" i="13"/>
  <c r="AH129" i="13"/>
  <c r="AD60" i="13"/>
  <c r="AG119" i="13"/>
  <c r="AH28" i="13"/>
  <c r="AH25" i="13"/>
  <c r="AG24" i="13"/>
  <c r="AF23" i="13"/>
  <c r="AD4" i="13"/>
  <c r="AH183" i="13"/>
  <c r="AG194" i="13"/>
  <c r="AE162" i="13"/>
  <c r="AG211" i="13"/>
  <c r="AH196" i="13"/>
  <c r="AG130" i="13"/>
  <c r="AA102" i="13"/>
  <c r="AF102" i="13" s="1"/>
  <c r="AG20" i="13"/>
  <c r="AG12" i="13"/>
  <c r="AG8" i="13"/>
  <c r="AH187" i="13"/>
  <c r="AG59" i="13"/>
  <c r="AH96" i="13"/>
  <c r="AH54" i="13"/>
  <c r="AH43" i="13"/>
  <c r="AD37" i="13"/>
  <c r="AF87" i="13"/>
  <c r="AD68" i="13"/>
  <c r="AD22" i="13"/>
  <c r="AD10" i="13"/>
  <c r="AH127" i="13"/>
  <c r="AH123" i="13"/>
  <c r="AD75" i="13"/>
  <c r="AD67" i="13"/>
  <c r="AD19" i="13"/>
  <c r="AD11" i="13"/>
  <c r="AG47" i="13"/>
  <c r="AG39" i="13"/>
  <c r="AF86" i="13"/>
  <c r="AF64" i="13"/>
  <c r="AD58" i="13"/>
  <c r="AG188" i="13"/>
  <c r="AG162" i="13"/>
  <c r="AH118" i="13"/>
  <c r="AD14" i="13"/>
  <c r="AH194" i="13"/>
  <c r="AD55" i="13"/>
  <c r="AH109" i="13"/>
  <c r="AH104" i="13"/>
  <c r="AD101" i="13"/>
  <c r="AH79" i="13"/>
  <c r="AH22" i="13"/>
  <c r="AH18" i="13"/>
  <c r="AH14" i="13"/>
  <c r="AH10" i="13"/>
  <c r="AH6" i="13"/>
  <c r="AE192" i="13"/>
  <c r="AD125" i="13"/>
  <c r="AD121" i="13"/>
  <c r="AE86" i="13"/>
  <c r="AH160" i="13"/>
  <c r="AH195" i="13"/>
  <c r="AH72" i="13"/>
  <c r="AH59" i="13"/>
  <c r="AF126" i="13"/>
  <c r="AE122" i="13"/>
  <c r="AA130" i="13"/>
  <c r="AE83" i="13"/>
  <c r="AG15" i="13"/>
  <c r="AG7" i="13"/>
  <c r="AH120" i="13"/>
  <c r="AH44" i="13"/>
  <c r="AG50" i="13"/>
  <c r="AH47" i="13"/>
  <c r="AD6" i="13"/>
  <c r="AD190" i="13"/>
  <c r="AG126" i="13"/>
  <c r="AG122" i="13"/>
  <c r="AG54" i="13"/>
  <c r="AD44" i="13"/>
  <c r="AD56" i="13"/>
  <c r="AH119" i="13"/>
  <c r="AG46" i="13"/>
  <c r="AH26" i="13"/>
  <c r="AG41" i="13"/>
  <c r="AF136" i="13"/>
  <c r="AE205" i="13"/>
  <c r="AG205" i="13"/>
  <c r="AE199" i="13"/>
  <c r="AD109" i="13"/>
  <c r="AD104" i="13"/>
  <c r="AE98" i="13"/>
  <c r="AG98" i="13"/>
  <c r="AG81" i="13"/>
  <c r="AE77" i="13"/>
  <c r="AG77" i="13"/>
  <c r="AE201" i="13"/>
  <c r="AG201" i="13"/>
  <c r="AF83" i="13"/>
  <c r="AH77" i="13"/>
  <c r="AF162" i="13"/>
  <c r="AE124" i="13"/>
  <c r="AG72" i="13"/>
  <c r="AH204" i="13"/>
  <c r="AG83" i="13"/>
  <c r="AH78" i="13"/>
  <c r="AG65" i="13"/>
  <c r="AG18" i="13"/>
  <c r="AH163" i="13"/>
  <c r="AH99" i="13"/>
  <c r="AE78" i="13"/>
  <c r="AH95" i="13"/>
  <c r="AD41" i="13"/>
  <c r="AE116" i="13"/>
  <c r="AG116" i="13"/>
  <c r="AH125" i="13"/>
  <c r="AH121" i="13"/>
  <c r="AD186" i="13"/>
  <c r="AE75" i="7"/>
  <c r="AG74" i="7"/>
  <c r="AH73" i="7"/>
  <c r="AF73" i="7"/>
  <c r="AB75" i="7"/>
  <c r="AF75" i="7"/>
  <c r="AA74" i="7"/>
  <c r="AH74" i="7" s="1"/>
  <c r="AG73" i="7"/>
  <c r="AD73" i="7"/>
  <c r="AE73" i="7"/>
  <c r="AB35" i="7"/>
  <c r="AH35" i="7" s="1"/>
  <c r="AF35" i="7"/>
  <c r="AB6" i="7"/>
  <c r="AG6" i="7" s="1"/>
  <c r="AF6" i="7"/>
  <c r="AH11" i="14" l="1"/>
  <c r="AE11" i="14"/>
  <c r="AE81" i="13"/>
  <c r="AH102" i="13"/>
  <c r="AH81" i="13"/>
  <c r="AE7" i="14"/>
  <c r="AE9" i="14"/>
  <c r="AH9" i="14"/>
  <c r="AH7" i="14"/>
  <c r="AH84" i="13"/>
  <c r="AH197" i="13"/>
  <c r="AF130" i="13"/>
  <c r="AH130" i="13"/>
  <c r="AE102" i="13"/>
  <c r="AE84" i="13"/>
  <c r="AF318" i="13"/>
  <c r="AH318" i="13"/>
  <c r="AE130" i="13"/>
  <c r="AF178" i="13"/>
  <c r="AH178" i="13"/>
  <c r="AE197" i="13"/>
  <c r="AF74" i="7"/>
  <c r="AE74" i="7"/>
  <c r="AG35" i="7"/>
  <c r="AG75" i="7"/>
  <c r="AH75" i="7"/>
  <c r="AD75" i="7"/>
  <c r="AD6" i="7"/>
  <c r="AD35" i="7"/>
  <c r="AH6" i="7"/>
  <c r="D38" i="7" l="1"/>
  <c r="D43" i="7"/>
  <c r="D44" i="7"/>
  <c r="D53" i="7"/>
  <c r="D54" i="7"/>
  <c r="D55" i="7"/>
  <c r="D56" i="7"/>
  <c r="D59" i="7"/>
  <c r="D60" i="7"/>
  <c r="D66" i="7"/>
  <c r="D81" i="7"/>
  <c r="D82" i="7"/>
  <c r="D13" i="7"/>
  <c r="D14" i="7"/>
  <c r="D27" i="7"/>
  <c r="D28" i="7"/>
  <c r="D29" i="7"/>
  <c r="D30" i="7"/>
  <c r="D31" i="7"/>
  <c r="D32" i="7"/>
  <c r="I67" i="8" l="1"/>
  <c r="I49" i="8"/>
  <c r="I34" i="8"/>
  <c r="I40" i="8"/>
  <c r="I44" i="7" l="1"/>
  <c r="I43" i="7"/>
  <c r="Z82" i="7" l="1"/>
  <c r="I82" i="7"/>
  <c r="AC82" i="7" s="1"/>
  <c r="Z81" i="7"/>
  <c r="AB81" i="7" s="1"/>
  <c r="AD81" i="7" s="1"/>
  <c r="I81" i="7"/>
  <c r="E81" i="7" s="1"/>
  <c r="Z66" i="7"/>
  <c r="AB66" i="7" s="1"/>
  <c r="I66" i="7"/>
  <c r="AC66" i="7" s="1"/>
  <c r="AC60" i="7"/>
  <c r="Z60" i="7"/>
  <c r="AB60" i="7" s="1"/>
  <c r="AC59" i="7"/>
  <c r="Z59" i="7"/>
  <c r="AC56" i="7"/>
  <c r="Z56" i="7"/>
  <c r="AC55" i="7"/>
  <c r="Z55" i="7"/>
  <c r="AB55" i="7" s="1"/>
  <c r="AD55" i="7" s="1"/>
  <c r="AC54" i="7"/>
  <c r="Z54" i="7"/>
  <c r="AB54" i="7" s="1"/>
  <c r="AD54" i="7" s="1"/>
  <c r="AC53" i="7"/>
  <c r="AA53" i="7" s="1"/>
  <c r="Z53" i="7"/>
  <c r="AC44" i="7"/>
  <c r="Z44" i="7"/>
  <c r="AB44" i="7" s="1"/>
  <c r="AD44" i="7" s="1"/>
  <c r="AC43" i="7"/>
  <c r="AA43" i="7" s="1"/>
  <c r="Z43" i="7"/>
  <c r="AC38" i="7"/>
  <c r="AA38" i="7" s="1"/>
  <c r="Z38" i="7"/>
  <c r="AB38" i="7" s="1"/>
  <c r="AD38" i="7" s="1"/>
  <c r="AC32" i="7"/>
  <c r="AA32" i="7" s="1"/>
  <c r="Z32" i="7"/>
  <c r="AB32" i="7" s="1"/>
  <c r="AC31" i="7"/>
  <c r="AA31" i="7" s="1"/>
  <c r="AE31" i="7" s="1"/>
  <c r="Z31" i="7"/>
  <c r="AB31" i="7" s="1"/>
  <c r="AC30" i="7"/>
  <c r="Z30" i="7"/>
  <c r="AB30" i="7" s="1"/>
  <c r="AD30" i="7" s="1"/>
  <c r="AC29" i="7"/>
  <c r="AA29" i="7" s="1"/>
  <c r="AE29" i="7" s="1"/>
  <c r="Z29" i="7"/>
  <c r="AB29" i="7" s="1"/>
  <c r="AC28" i="7"/>
  <c r="AA28" i="7" s="1"/>
  <c r="AE28" i="7" s="1"/>
  <c r="Z28" i="7"/>
  <c r="AC27" i="7"/>
  <c r="AA27" i="7" s="1"/>
  <c r="AE27" i="7" s="1"/>
  <c r="Z27" i="7"/>
  <c r="AB27" i="7" s="1"/>
  <c r="AC14" i="7"/>
  <c r="AA14" i="7" s="1"/>
  <c r="Z14" i="7"/>
  <c r="AC13" i="7"/>
  <c r="Z13" i="7"/>
  <c r="AF53" i="7" l="1"/>
  <c r="AG31" i="7"/>
  <c r="AE38" i="7"/>
  <c r="AG29" i="7"/>
  <c r="AF38" i="7"/>
  <c r="AA66" i="7"/>
  <c r="AE66" i="7" s="1"/>
  <c r="AH38" i="7"/>
  <c r="AB56" i="7"/>
  <c r="AG56" i="7" s="1"/>
  <c r="AE43" i="7"/>
  <c r="E82" i="7"/>
  <c r="AD32" i="7"/>
  <c r="AG38" i="7"/>
  <c r="AA82" i="7"/>
  <c r="AE82" i="7" s="1"/>
  <c r="AA56" i="7"/>
  <c r="AF43" i="7"/>
  <c r="AB28" i="7"/>
  <c r="AD28" i="7" s="1"/>
  <c r="AG27" i="7"/>
  <c r="AG32" i="7"/>
  <c r="AB43" i="7"/>
  <c r="AH43" i="7" s="1"/>
  <c r="AA30" i="7"/>
  <c r="AE30" i="7" s="1"/>
  <c r="AG30" i="7"/>
  <c r="AB53" i="7"/>
  <c r="AH53" i="7" s="1"/>
  <c r="AC81" i="7"/>
  <c r="AD29" i="7"/>
  <c r="AD31" i="7"/>
  <c r="AF27" i="7"/>
  <c r="AF29" i="7"/>
  <c r="AF31" i="7"/>
  <c r="AD27" i="7"/>
  <c r="AF14" i="7"/>
  <c r="AH32" i="7"/>
  <c r="AF32" i="7"/>
  <c r="AE32" i="7"/>
  <c r="AB14" i="7"/>
  <c r="AD14" i="7" s="1"/>
  <c r="AH29" i="7"/>
  <c r="AH31" i="7"/>
  <c r="AE14" i="7"/>
  <c r="AA13" i="7"/>
  <c r="AE13" i="7" s="1"/>
  <c r="AH27" i="7"/>
  <c r="AB13" i="7"/>
  <c r="AG13" i="7" s="1"/>
  <c r="AF28" i="7"/>
  <c r="AA55" i="7"/>
  <c r="AF55" i="7" s="1"/>
  <c r="AG55" i="7"/>
  <c r="AA54" i="7"/>
  <c r="AF54" i="7" s="1"/>
  <c r="AG54" i="7"/>
  <c r="AG60" i="7"/>
  <c r="AA60" i="7"/>
  <c r="AE60" i="7" s="1"/>
  <c r="AB59" i="7"/>
  <c r="AD59" i="7" s="1"/>
  <c r="AA44" i="7"/>
  <c r="AF44" i="7" s="1"/>
  <c r="AG44" i="7"/>
  <c r="AA59" i="7"/>
  <c r="AF59" i="7" s="1"/>
  <c r="AD60" i="7"/>
  <c r="AG66" i="7"/>
  <c r="AE53" i="7"/>
  <c r="AD66" i="7"/>
  <c r="AB82" i="7"/>
  <c r="AG82" i="7" s="1"/>
  <c r="AF82" i="7" l="1"/>
  <c r="AH56" i="7"/>
  <c r="AH60" i="7"/>
  <c r="AF30" i="7"/>
  <c r="AD56" i="7"/>
  <c r="AG14" i="7"/>
  <c r="AH66" i="7"/>
  <c r="AG59" i="7"/>
  <c r="AH59" i="7"/>
  <c r="AF66" i="7"/>
  <c r="AH54" i="7"/>
  <c r="AD13" i="7"/>
  <c r="AA81" i="7"/>
  <c r="AF81" i="7" s="1"/>
  <c r="AG81" i="7"/>
  <c r="AF60" i="7"/>
  <c r="AG28" i="7"/>
  <c r="AD43" i="7"/>
  <c r="AG43" i="7"/>
  <c r="AE55" i="7"/>
  <c r="AD82" i="7"/>
  <c r="AH14" i="7"/>
  <c r="AH28" i="7"/>
  <c r="AH82" i="7"/>
  <c r="AE44" i="7"/>
  <c r="AD53" i="7"/>
  <c r="AG53" i="7"/>
  <c r="AH44" i="7"/>
  <c r="AE54" i="7"/>
  <c r="AH30" i="7"/>
  <c r="AF56" i="7"/>
  <c r="AE56" i="7"/>
  <c r="AH55" i="7"/>
  <c r="AE59" i="7"/>
  <c r="AF13" i="7"/>
  <c r="AH13" i="7"/>
  <c r="AE81" i="7" l="1"/>
  <c r="AH81" i="7"/>
</calcChain>
</file>

<file path=xl/comments1.xml><?xml version="1.0" encoding="utf-8"?>
<comments xmlns="http://schemas.openxmlformats.org/spreadsheetml/2006/main">
  <authors>
    <author>minkyoon.kang@gmail.com</author>
  </authors>
  <commentList>
    <comment ref="K43" authorId="0" shapeId="0">
      <text>
        <r>
          <rPr>
            <b/>
            <sz val="9"/>
            <color indexed="81"/>
            <rFont val="Tahoma"/>
            <family val="2"/>
          </rPr>
          <t xml:space="preserve">minkyoon.kang@gmail.com:
</t>
        </r>
        <r>
          <rPr>
            <b/>
            <sz val="9"/>
            <color indexed="81"/>
            <rFont val="돋움"/>
            <family val="3"/>
            <charset val="129"/>
          </rPr>
          <t>부등호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방향이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반대지</t>
        </r>
        <r>
          <rPr>
            <b/>
            <sz val="9"/>
            <color indexed="81"/>
            <rFont val="Tahoma"/>
            <family val="2"/>
          </rPr>
          <t>?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minkyoon.kang@gmail.com: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부등호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반대임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8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흉통이라고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진단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내렸고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진단명이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너무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많음</t>
        </r>
      </text>
    </comment>
    <comment ref="E19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E19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E19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E20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E20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E20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130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진단받은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환자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기준으로</t>
        </r>
        <r>
          <rPr>
            <sz val="9"/>
            <color indexed="81"/>
            <rFont val="Tahoma"/>
            <family val="2"/>
          </rPr>
          <t xml:space="preserve"> 100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Q2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보고했지</t>
        </r>
        <r>
          <rPr>
            <sz val="9"/>
            <color indexed="81"/>
            <rFont val="Tahoma"/>
            <family val="2"/>
          </rPr>
          <t>?</t>
        </r>
      </text>
    </comment>
    <comment ref="P3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민감도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100%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나오지</t>
        </r>
        <r>
          <rPr>
            <sz val="9"/>
            <color indexed="81"/>
            <rFont val="Tahoma"/>
            <family val="2"/>
          </rPr>
          <t>?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delta myo=myoglobin increasing &gt;= 25% in 90 minutes with value(s) &gt; 150ng/ml</t>
        </r>
      </text>
    </comment>
  </commentList>
</comments>
</file>

<file path=xl/sharedStrings.xml><?xml version="1.0" encoding="utf-8"?>
<sst xmlns="http://schemas.openxmlformats.org/spreadsheetml/2006/main" count="3336" uniqueCount="628">
  <si>
    <t>ref. no</t>
    <phoneticPr fontId="1" type="noConversion"/>
  </si>
  <si>
    <t>제1저자</t>
    <phoneticPr fontId="1" type="noConversion"/>
  </si>
  <si>
    <t>연구설계</t>
    <phoneticPr fontId="1" type="noConversion"/>
  </si>
  <si>
    <t>국가</t>
    <phoneticPr fontId="1" type="noConversion"/>
  </si>
  <si>
    <t>연구대상자</t>
    <phoneticPr fontId="1" type="noConversion"/>
  </si>
  <si>
    <r>
      <rPr>
        <b/>
        <sz val="10"/>
        <color rgb="FFFF0000"/>
        <rFont val="맑은 고딕"/>
        <family val="3"/>
        <charset val="129"/>
        <scheme val="minor"/>
      </rPr>
      <t>[자동계산]</t>
    </r>
    <r>
      <rPr>
        <b/>
        <sz val="10"/>
        <color theme="1"/>
        <rFont val="맑은 고딕"/>
        <family val="3"/>
        <charset val="129"/>
        <scheme val="minor"/>
      </rPr>
      <t xml:space="preserve"> 계산된 진단정확도</t>
    </r>
    <phoneticPr fontId="1" type="noConversion"/>
  </si>
  <si>
    <t>환자군</t>
    <phoneticPr fontId="1" type="noConversion"/>
  </si>
  <si>
    <t>대조군</t>
    <phoneticPr fontId="1" type="noConversion"/>
  </si>
  <si>
    <t>TP</t>
    <phoneticPr fontId="1" type="noConversion"/>
  </si>
  <si>
    <t>FP</t>
    <phoneticPr fontId="1" type="noConversion"/>
  </si>
  <si>
    <t>FN</t>
    <phoneticPr fontId="1" type="noConversion"/>
  </si>
  <si>
    <t>TN</t>
    <phoneticPr fontId="1" type="noConversion"/>
  </si>
  <si>
    <t>Sn</t>
    <phoneticPr fontId="1" type="noConversion"/>
  </si>
  <si>
    <t>Sp</t>
  </si>
  <si>
    <t>PPV</t>
  </si>
  <si>
    <t>NPV</t>
  </si>
  <si>
    <t>LR+</t>
    <phoneticPr fontId="1" type="noConversion"/>
  </si>
  <si>
    <t>LR-</t>
    <phoneticPr fontId="1" type="noConversion"/>
  </si>
  <si>
    <t>검사정확도</t>
  </si>
  <si>
    <t>AUC</t>
    <phoneticPr fontId="1" type="noConversion"/>
  </si>
  <si>
    <t>ROC</t>
    <phoneticPr fontId="1" type="noConversion"/>
  </si>
  <si>
    <t>Sn</t>
  </si>
  <si>
    <t>정의</t>
    <phoneticPr fontId="1" type="noConversion"/>
  </si>
  <si>
    <t>N</t>
    <phoneticPr fontId="1" type="noConversion"/>
  </si>
  <si>
    <t>%</t>
    <phoneticPr fontId="1" type="noConversion"/>
  </si>
  <si>
    <t xml:space="preserve">값 </t>
    <phoneticPr fontId="1" type="noConversion"/>
  </si>
  <si>
    <t>(95% CI)</t>
    <phoneticPr fontId="1" type="noConversion"/>
  </si>
  <si>
    <t>값</t>
    <phoneticPr fontId="1" type="noConversion"/>
  </si>
  <si>
    <r>
      <t>논문에 보고된</t>
    </r>
    <r>
      <rPr>
        <b/>
        <sz val="10"/>
        <color rgb="FFFF0000"/>
        <rFont val="맑은 고딕"/>
        <family val="3"/>
        <charset val="129"/>
        <scheme val="minor"/>
      </rPr>
      <t xml:space="preserve"> HIV</t>
    </r>
    <r>
      <rPr>
        <b/>
        <sz val="10"/>
        <color theme="1"/>
        <rFont val="맑은 고딕"/>
        <family val="3"/>
        <charset val="129"/>
        <scheme val="minor"/>
      </rPr>
      <t xml:space="preserve"> 진단정확도</t>
    </r>
    <phoneticPr fontId="1" type="noConversion"/>
  </si>
  <si>
    <t>P(정의)</t>
    <phoneticPr fontId="1" type="noConversion"/>
  </si>
  <si>
    <t xml:space="preserve">환자수 </t>
    <phoneticPr fontId="1" type="noConversion"/>
  </si>
  <si>
    <t>O(진단정확도)</t>
    <phoneticPr fontId="1" type="noConversion"/>
  </si>
  <si>
    <t>Sn, Sp</t>
    <phoneticPr fontId="1" type="noConversion"/>
  </si>
  <si>
    <t>Year</t>
    <phoneticPr fontId="1" type="noConversion"/>
  </si>
  <si>
    <t>전체</t>
    <phoneticPr fontId="1" type="noConversion"/>
  </si>
  <si>
    <t>약어</t>
    <phoneticPr fontId="1" type="noConversion"/>
  </si>
  <si>
    <t>full-term</t>
    <phoneticPr fontId="1" type="noConversion"/>
  </si>
  <si>
    <t>Wang</t>
    <phoneticPr fontId="1" type="noConversion"/>
  </si>
  <si>
    <t>중국</t>
    <phoneticPr fontId="1" type="noConversion"/>
  </si>
  <si>
    <t>마이오글로빈</t>
    <phoneticPr fontId="1" type="noConversion"/>
  </si>
  <si>
    <t>참고표준검사</t>
    <phoneticPr fontId="1" type="noConversion"/>
  </si>
  <si>
    <t>임상진단</t>
    <phoneticPr fontId="1" type="noConversion"/>
  </si>
  <si>
    <t>비교검사</t>
    <phoneticPr fontId="1" type="noConversion"/>
  </si>
  <si>
    <t>cohort</t>
    <phoneticPr fontId="1" type="noConversion"/>
  </si>
  <si>
    <t>case-control</t>
    <phoneticPr fontId="1" type="noConversion"/>
  </si>
  <si>
    <t>AMI, HF, normal</t>
    <phoneticPr fontId="1" type="noConversion"/>
  </si>
  <si>
    <t>50, 50, 50</t>
    <phoneticPr fontId="1" type="noConversion"/>
  </si>
  <si>
    <t>I</t>
    <phoneticPr fontId="1" type="noConversion"/>
  </si>
  <si>
    <t>cut-off</t>
    <phoneticPr fontId="1" type="noConversion"/>
  </si>
  <si>
    <t>측정시간</t>
    <phoneticPr fontId="1" type="noConversion"/>
  </si>
  <si>
    <t>진단 목표질환</t>
    <phoneticPr fontId="1" type="noConversion"/>
  </si>
  <si>
    <t>cTnI</t>
    <phoneticPr fontId="1" type="noConversion"/>
  </si>
  <si>
    <t>Cheema</t>
    <phoneticPr fontId="1" type="noConversion"/>
  </si>
  <si>
    <t>파키스탄</t>
    <phoneticPr fontId="1" type="noConversion"/>
  </si>
  <si>
    <t>chest pain</t>
    <phoneticPr fontId="1" type="noConversion"/>
  </si>
  <si>
    <t>NR</t>
    <phoneticPr fontId="1" type="noConversion"/>
  </si>
  <si>
    <t>Trop I</t>
    <phoneticPr fontId="1" type="noConversion"/>
  </si>
  <si>
    <t>Trop T</t>
    <phoneticPr fontId="1" type="noConversion"/>
  </si>
  <si>
    <t>인도네시아</t>
    <phoneticPr fontId="1" type="noConversion"/>
  </si>
  <si>
    <t>Sn, Sp, PPV, NPV</t>
    <phoneticPr fontId="1" type="noConversion"/>
  </si>
  <si>
    <t>Sn, Sp, PPV, NPV, LR+, LR-</t>
    <phoneticPr fontId="1" type="noConversion"/>
  </si>
  <si>
    <t>AMI</t>
    <phoneticPr fontId="1" type="noConversion"/>
  </si>
  <si>
    <t>control</t>
    <phoneticPr fontId="1" type="noConversion"/>
  </si>
  <si>
    <t>영국</t>
    <phoneticPr fontId="1" type="noConversion"/>
  </si>
  <si>
    <t>T4</t>
    <phoneticPr fontId="1" type="noConversion"/>
  </si>
  <si>
    <t>normal</t>
    <phoneticPr fontId="1" type="noConversion"/>
  </si>
  <si>
    <t>Sn, Sp, PPV, NPV, LR+, LR-, AUC</t>
    <phoneticPr fontId="1" type="noConversion"/>
  </si>
  <si>
    <t>네덜란드</t>
    <phoneticPr fontId="1" type="noConversion"/>
  </si>
  <si>
    <t>ACS</t>
    <phoneticPr fontId="1" type="noConversion"/>
  </si>
  <si>
    <t>acute coronary syndrome</t>
    <phoneticPr fontId="1" type="noConversion"/>
  </si>
  <si>
    <t>Sn, Sp, PPV, NPV, AUC</t>
    <phoneticPr fontId="1" type="noConversion"/>
  </si>
  <si>
    <t>hs-cTnT</t>
    <phoneticPr fontId="1" type="noConversion"/>
  </si>
  <si>
    <t>0.69-0.81</t>
    <phoneticPr fontId="1" type="noConversion"/>
  </si>
  <si>
    <t>0.81-0.91</t>
    <phoneticPr fontId="1" type="noConversion"/>
  </si>
  <si>
    <t>튀르키예</t>
    <phoneticPr fontId="1" type="noConversion"/>
  </si>
  <si>
    <t>Banu</t>
    <phoneticPr fontId="1" type="noConversion"/>
  </si>
  <si>
    <t>Limon</t>
    <phoneticPr fontId="1" type="noConversion"/>
  </si>
  <si>
    <t>Aldous</t>
    <phoneticPr fontId="1" type="noConversion"/>
  </si>
  <si>
    <t>뉴질랜드</t>
    <phoneticPr fontId="1" type="noConversion"/>
  </si>
  <si>
    <t>McMahon</t>
    <phoneticPr fontId="1" type="noConversion"/>
  </si>
  <si>
    <t>아일랜드</t>
    <phoneticPr fontId="1" type="noConversion"/>
  </si>
  <si>
    <t>non-AMI</t>
    <phoneticPr fontId="1" type="noConversion"/>
  </si>
  <si>
    <t>0-3h, 3-6h, 6-12h, 12-24h, 24-48h, &gt;48h</t>
    <phoneticPr fontId="1" type="noConversion"/>
  </si>
  <si>
    <t>Sn, Sp, PPV, NPV, ROC</t>
    <phoneticPr fontId="1" type="noConversion"/>
  </si>
  <si>
    <t>Elmadbouh</t>
    <phoneticPr fontId="1" type="noConversion"/>
  </si>
  <si>
    <t>이집트</t>
    <phoneticPr fontId="1" type="noConversion"/>
  </si>
  <si>
    <t xml:space="preserve">0-3h, 3-6h </t>
    <phoneticPr fontId="1" type="noConversion"/>
  </si>
  <si>
    <t>Sn, Sp, PPV, NPV, Accuracy, ROC</t>
    <phoneticPr fontId="1" type="noConversion"/>
  </si>
  <si>
    <t>0-3h</t>
    <phoneticPr fontId="1" type="noConversion"/>
  </si>
  <si>
    <t>3-6h</t>
    <phoneticPr fontId="1" type="noConversion"/>
  </si>
  <si>
    <t>6-12h</t>
    <phoneticPr fontId="1" type="noConversion"/>
  </si>
  <si>
    <t>12-24h</t>
    <phoneticPr fontId="1" type="noConversion"/>
  </si>
  <si>
    <t>24-48h</t>
    <phoneticPr fontId="1" type="noConversion"/>
  </si>
  <si>
    <t>&gt;48h</t>
    <phoneticPr fontId="1" type="noConversion"/>
  </si>
  <si>
    <t>Bozkurt</t>
    <phoneticPr fontId="1" type="noConversion"/>
  </si>
  <si>
    <t>cTnT</t>
    <phoneticPr fontId="1" type="noConversion"/>
  </si>
  <si>
    <t>Liang</t>
    <phoneticPr fontId="1" type="noConversion"/>
  </si>
  <si>
    <t>AMI+</t>
    <phoneticPr fontId="1" type="noConversion"/>
  </si>
  <si>
    <t>AMI-</t>
    <phoneticPr fontId="1" type="noConversion"/>
  </si>
  <si>
    <t>일본</t>
    <phoneticPr fontId="1" type="noConversion"/>
  </si>
  <si>
    <t>Scharnhorst</t>
    <phoneticPr fontId="1" type="noConversion"/>
  </si>
  <si>
    <t>ACS 의심</t>
    <phoneticPr fontId="1" type="noConversion"/>
  </si>
  <si>
    <t>ACS 의심환자</t>
    <phoneticPr fontId="1" type="noConversion"/>
  </si>
  <si>
    <t>Kim</t>
    <phoneticPr fontId="1" type="noConversion"/>
  </si>
  <si>
    <t>한국</t>
    <phoneticPr fontId="1" type="noConversion"/>
  </si>
  <si>
    <t>MI</t>
    <phoneticPr fontId="1" type="noConversion"/>
  </si>
  <si>
    <t>MI+</t>
    <phoneticPr fontId="1" type="noConversion"/>
  </si>
  <si>
    <t>MI-</t>
    <phoneticPr fontId="1" type="noConversion"/>
  </si>
  <si>
    <t>독일</t>
    <phoneticPr fontId="1" type="noConversion"/>
  </si>
  <si>
    <t>T0, T6</t>
    <phoneticPr fontId="1" type="noConversion"/>
  </si>
  <si>
    <t>TnThs</t>
    <phoneticPr fontId="1" type="noConversion"/>
  </si>
  <si>
    <t>TnThs, cTnT</t>
    <phoneticPr fontId="1" type="noConversion"/>
  </si>
  <si>
    <t>Sn, Sp, LR+, LR-</t>
    <phoneticPr fontId="1" type="noConversion"/>
  </si>
  <si>
    <t>MI 의심환자</t>
    <phoneticPr fontId="1" type="noConversion"/>
  </si>
  <si>
    <t>0.69-0.85</t>
    <phoneticPr fontId="1" type="noConversion"/>
  </si>
  <si>
    <t>0.73-0.88</t>
    <phoneticPr fontId="1" type="noConversion"/>
  </si>
  <si>
    <t>Sn, Sp, AUC</t>
    <phoneticPr fontId="1" type="noConversion"/>
  </si>
  <si>
    <t>Keller</t>
    <phoneticPr fontId="1" type="noConversion"/>
  </si>
  <si>
    <t>0-3h, 3-6h, 6-12h, &gt;12h</t>
    <phoneticPr fontId="1" type="noConversion"/>
  </si>
  <si>
    <t>all</t>
    <phoneticPr fontId="1" type="noConversion"/>
  </si>
  <si>
    <t>0.78-0.88</t>
    <phoneticPr fontId="1" type="noConversion"/>
  </si>
  <si>
    <t>TnT</t>
    <phoneticPr fontId="1" type="noConversion"/>
  </si>
  <si>
    <t>0.72-0.82</t>
    <phoneticPr fontId="1" type="noConversion"/>
  </si>
  <si>
    <t>0.76-0.84</t>
    <phoneticPr fontId="1" type="noConversion"/>
  </si>
  <si>
    <t>0.77-0.84</t>
    <phoneticPr fontId="1" type="noConversion"/>
  </si>
  <si>
    <t>0.82-0.87</t>
    <phoneticPr fontId="1" type="noConversion"/>
  </si>
  <si>
    <t>0.79-0.86</t>
    <phoneticPr fontId="1" type="noConversion"/>
  </si>
  <si>
    <t>0.78-0.86</t>
    <phoneticPr fontId="1" type="noConversion"/>
  </si>
  <si>
    <t>0.79-0.85</t>
    <phoneticPr fontId="1" type="noConversion"/>
  </si>
  <si>
    <t>덴마크</t>
    <phoneticPr fontId="1" type="noConversion"/>
  </si>
  <si>
    <t>admission</t>
    <phoneticPr fontId="1" type="noConversion"/>
  </si>
  <si>
    <t>Cete</t>
    <phoneticPr fontId="1" type="noConversion"/>
  </si>
  <si>
    <t>무한</t>
    <phoneticPr fontId="1" type="noConversion"/>
  </si>
  <si>
    <t>Ho</t>
    <phoneticPr fontId="1" type="noConversion"/>
  </si>
  <si>
    <t>TnI (POCT)</t>
    <phoneticPr fontId="1" type="noConversion"/>
  </si>
  <si>
    <t>TnI (Lab)</t>
    <phoneticPr fontId="1" type="noConversion"/>
  </si>
  <si>
    <t>0.635-0.830</t>
    <phoneticPr fontId="1" type="noConversion"/>
  </si>
  <si>
    <t>0.585-0.800</t>
    <phoneticPr fontId="1" type="noConversion"/>
  </si>
  <si>
    <t>0.621-0.830</t>
    <phoneticPr fontId="1" type="noConversion"/>
  </si>
  <si>
    <t>미국</t>
    <phoneticPr fontId="1" type="noConversion"/>
  </si>
  <si>
    <t>폴란드</t>
    <phoneticPr fontId="1" type="noConversion"/>
  </si>
  <si>
    <t>ACS 의심 환자</t>
    <phoneticPr fontId="1" type="noConversion"/>
  </si>
  <si>
    <t>Mion</t>
    <phoneticPr fontId="1" type="noConversion"/>
  </si>
  <si>
    <t>이탈리아</t>
    <phoneticPr fontId="1" type="noConversion"/>
  </si>
  <si>
    <t>AMI+, non-AMI</t>
    <phoneticPr fontId="1" type="noConversion"/>
  </si>
  <si>
    <t>0.83-0.94</t>
    <phoneticPr fontId="1" type="noConversion"/>
  </si>
  <si>
    <t>0.67-0.82</t>
    <phoneticPr fontId="1" type="noConversion"/>
  </si>
  <si>
    <t>캐나다</t>
    <phoneticPr fontId="1" type="noConversion"/>
  </si>
  <si>
    <t>Cameron</t>
    <phoneticPr fontId="1" type="noConversion"/>
  </si>
  <si>
    <t>61.0-70.3</t>
    <phoneticPr fontId="1" type="noConversion"/>
  </si>
  <si>
    <t>60.1-79.5</t>
    <phoneticPr fontId="1" type="noConversion"/>
  </si>
  <si>
    <t>O(안전성)</t>
    <phoneticPr fontId="1" type="noConversion"/>
  </si>
  <si>
    <t>Amodio</t>
    <phoneticPr fontId="1" type="noConversion"/>
  </si>
  <si>
    <t>86mg/l</t>
    <phoneticPr fontId="1" type="noConversion"/>
  </si>
  <si>
    <t>0.04mg/l</t>
    <phoneticPr fontId="1" type="noConversion"/>
  </si>
  <si>
    <t>0.05mg/l</t>
    <phoneticPr fontId="1" type="noConversion"/>
  </si>
  <si>
    <t>0.06mg/l</t>
    <phoneticPr fontId="1" type="noConversion"/>
  </si>
  <si>
    <t>0.07mg/l</t>
    <phoneticPr fontId="1" type="noConversion"/>
  </si>
  <si>
    <t>스웨덴</t>
    <phoneticPr fontId="1" type="noConversion"/>
  </si>
  <si>
    <t>1-2h, 3h, 6h</t>
    <phoneticPr fontId="1" type="noConversion"/>
  </si>
  <si>
    <t>RR</t>
    <phoneticPr fontId="1" type="noConversion"/>
  </si>
  <si>
    <t>reference range</t>
    <phoneticPr fontId="1" type="noConversion"/>
  </si>
  <si>
    <t>RI</t>
    <phoneticPr fontId="1" type="noConversion"/>
  </si>
  <si>
    <t>reference interval</t>
    <phoneticPr fontId="1" type="noConversion"/>
  </si>
  <si>
    <t>1-2h</t>
    <phoneticPr fontId="1" type="noConversion"/>
  </si>
  <si>
    <t>3h</t>
    <phoneticPr fontId="1" type="noConversion"/>
  </si>
  <si>
    <t>6h</t>
    <phoneticPr fontId="1" type="noConversion"/>
  </si>
  <si>
    <t>0h</t>
    <phoneticPr fontId="1" type="noConversion"/>
  </si>
  <si>
    <t>2h</t>
    <phoneticPr fontId="1" type="noConversion"/>
  </si>
  <si>
    <t>누적 Sn, 누적 Sp</t>
    <phoneticPr fontId="1" type="noConversion"/>
  </si>
  <si>
    <t>Jordanova</t>
    <phoneticPr fontId="1" type="noConversion"/>
  </si>
  <si>
    <t>오스트리아</t>
    <phoneticPr fontId="1" type="noConversion"/>
  </si>
  <si>
    <t>at admission</t>
    <phoneticPr fontId="1" type="noConversion"/>
  </si>
  <si>
    <t>AMI 의심환자</t>
    <phoneticPr fontId="1" type="noConversion"/>
  </si>
  <si>
    <t>TnI</t>
    <phoneticPr fontId="1" type="noConversion"/>
  </si>
  <si>
    <t>0-6h</t>
    <phoneticPr fontId="1" type="noConversion"/>
  </si>
  <si>
    <t>Melanson</t>
    <phoneticPr fontId="1" type="noConversion"/>
  </si>
  <si>
    <t>ED 환자</t>
    <phoneticPr fontId="1" type="noConversion"/>
  </si>
  <si>
    <t>0.692-0.855</t>
    <phoneticPr fontId="1" type="noConversion"/>
  </si>
  <si>
    <t>ER</t>
    <phoneticPr fontId="1" type="noConversion"/>
  </si>
  <si>
    <t>UL</t>
    <phoneticPr fontId="1" type="noConversion"/>
  </si>
  <si>
    <t>upper limit</t>
    <phoneticPr fontId="1" type="noConversion"/>
  </si>
  <si>
    <t>McCord</t>
    <phoneticPr fontId="1" type="noConversion"/>
  </si>
  <si>
    <t>death, MI</t>
    <phoneticPr fontId="1" type="noConversion"/>
  </si>
  <si>
    <t>9h</t>
    <phoneticPr fontId="1" type="noConversion"/>
  </si>
  <si>
    <t>Sn, SP, PPV, NPV</t>
    <phoneticPr fontId="1" type="noConversion"/>
  </si>
  <si>
    <t>Seino</t>
    <phoneticPr fontId="1" type="noConversion"/>
  </si>
  <si>
    <t>&lt;2, 2-4h, 4-6h, 6-12h, 12-24h</t>
    <phoneticPr fontId="1" type="noConversion"/>
  </si>
  <si>
    <t>Sn,  Sp</t>
    <phoneticPr fontId="1" type="noConversion"/>
  </si>
  <si>
    <t>&lt;2h</t>
    <phoneticPr fontId="1" type="noConversion"/>
  </si>
  <si>
    <t>2-4h</t>
    <phoneticPr fontId="1" type="noConversion"/>
  </si>
  <si>
    <t>4-6h</t>
    <phoneticPr fontId="1" type="noConversion"/>
  </si>
  <si>
    <t>Nakata</t>
    <phoneticPr fontId="1" type="noConversion"/>
  </si>
  <si>
    <t>2-6h</t>
    <phoneticPr fontId="1" type="noConversion"/>
  </si>
  <si>
    <t>ACS-</t>
    <phoneticPr fontId="1" type="noConversion"/>
  </si>
  <si>
    <t>ACS+</t>
    <phoneticPr fontId="1" type="noConversion"/>
  </si>
  <si>
    <t>Kurz</t>
    <phoneticPr fontId="1" type="noConversion"/>
  </si>
  <si>
    <t>NCCP, UAP</t>
    <phoneticPr fontId="1" type="noConversion"/>
  </si>
  <si>
    <t>MI 등</t>
    <phoneticPr fontId="1" type="noConversion"/>
  </si>
  <si>
    <t>4h</t>
    <phoneticPr fontId="1" type="noConversion"/>
  </si>
  <si>
    <t>perioperative myocardial infarction</t>
    <phoneticPr fontId="1" type="noConversion"/>
  </si>
  <si>
    <t>poMI</t>
    <phoneticPr fontId="1" type="noConversion"/>
  </si>
  <si>
    <t>Fransen</t>
    <phoneticPr fontId="1" type="noConversion"/>
  </si>
  <si>
    <t>poMI+</t>
    <phoneticPr fontId="1" type="noConversion"/>
  </si>
  <si>
    <t>poMI-</t>
    <phoneticPr fontId="1" type="noConversion"/>
  </si>
  <si>
    <t>8h</t>
    <phoneticPr fontId="1" type="noConversion"/>
  </si>
  <si>
    <t>12h</t>
    <phoneticPr fontId="1" type="noConversion"/>
  </si>
  <si>
    <t>16h</t>
    <phoneticPr fontId="1" type="noConversion"/>
  </si>
  <si>
    <t>20h</t>
    <phoneticPr fontId="1" type="noConversion"/>
  </si>
  <si>
    <t>Ming</t>
    <phoneticPr fontId="1" type="noConversion"/>
  </si>
  <si>
    <t>AMI 등</t>
    <phoneticPr fontId="1" type="noConversion"/>
  </si>
  <si>
    <t>1.5h</t>
    <phoneticPr fontId="1" type="noConversion"/>
  </si>
  <si>
    <t>Haastrup</t>
    <phoneticPr fontId="1" type="noConversion"/>
  </si>
  <si>
    <t>0h, 6h</t>
    <phoneticPr fontId="1" type="noConversion"/>
  </si>
  <si>
    <t>AMI+</t>
  </si>
  <si>
    <t>Stork</t>
    <phoneticPr fontId="1" type="noConversion"/>
  </si>
  <si>
    <t>0h, 4h</t>
    <phoneticPr fontId="1" type="noConversion"/>
  </si>
  <si>
    <t>Apple</t>
    <phoneticPr fontId="1" type="noConversion"/>
  </si>
  <si>
    <t>Sn, Sp, ROC</t>
    <phoneticPr fontId="1" type="noConversion"/>
  </si>
  <si>
    <t>Green</t>
    <phoneticPr fontId="1" type="noConversion"/>
  </si>
  <si>
    <t>first sample_70</t>
    <phoneticPr fontId="1" type="noConversion"/>
  </si>
  <si>
    <t>first sample_90</t>
    <phoneticPr fontId="1" type="noConversion"/>
  </si>
  <si>
    <t>first sample_120</t>
    <phoneticPr fontId="1" type="noConversion"/>
  </si>
  <si>
    <t>first sample_0.5</t>
    <phoneticPr fontId="1" type="noConversion"/>
  </si>
  <si>
    <t>first sample_1.0</t>
    <phoneticPr fontId="1" type="noConversion"/>
  </si>
  <si>
    <t>first sample_2.0</t>
    <phoneticPr fontId="1" type="noConversion"/>
  </si>
  <si>
    <t>6h_70</t>
    <phoneticPr fontId="1" type="noConversion"/>
  </si>
  <si>
    <t>6h_0.5</t>
    <phoneticPr fontId="1" type="noConversion"/>
  </si>
  <si>
    <t>6h_90</t>
    <phoneticPr fontId="1" type="noConversion"/>
  </si>
  <si>
    <t>6h_1.0</t>
    <phoneticPr fontId="1" type="noConversion"/>
  </si>
  <si>
    <t>6h_120</t>
    <phoneticPr fontId="1" type="noConversion"/>
  </si>
  <si>
    <t>6h_2.0</t>
    <phoneticPr fontId="1" type="noConversion"/>
  </si>
  <si>
    <t>Gustafsson</t>
    <phoneticPr fontId="1" type="noConversion"/>
  </si>
  <si>
    <t>AMI 환자 등</t>
    <phoneticPr fontId="1" type="noConversion"/>
  </si>
  <si>
    <t>Sn, Sp, NPV, PPV</t>
    <phoneticPr fontId="1" type="noConversion"/>
  </si>
  <si>
    <t>Maisel</t>
    <phoneticPr fontId="1" type="noConversion"/>
  </si>
  <si>
    <t>0h_≥0.10μg/L</t>
    <phoneticPr fontId="1" type="noConversion"/>
  </si>
  <si>
    <t>0h_≥64/76μg/L</t>
    <phoneticPr fontId="1" type="noConversion"/>
  </si>
  <si>
    <t>0h_≥0.06μg/L</t>
    <phoneticPr fontId="1" type="noConversion"/>
  </si>
  <si>
    <t>3h_≥64/76μg/L</t>
    <phoneticPr fontId="1" type="noConversion"/>
  </si>
  <si>
    <t>6h_≥64/76μg/L</t>
    <phoneticPr fontId="1" type="noConversion"/>
  </si>
  <si>
    <t>6h_≥0.06μg/L</t>
    <phoneticPr fontId="1" type="noConversion"/>
  </si>
  <si>
    <t>6h_≥0.10μg/L</t>
    <phoneticPr fontId="1" type="noConversion"/>
  </si>
  <si>
    <t>Sonel</t>
    <phoneticPr fontId="1" type="noConversion"/>
  </si>
  <si>
    <t>≤1wk, 1wk-6mo, ≤6mo</t>
    <phoneticPr fontId="1" type="noConversion"/>
  </si>
  <si>
    <t>≤6mo</t>
    <phoneticPr fontId="1" type="noConversion"/>
  </si>
  <si>
    <t>1wk-6mo</t>
    <phoneticPr fontId="1" type="noConversion"/>
  </si>
  <si>
    <t>≤1wk</t>
    <phoneticPr fontId="1" type="noConversion"/>
  </si>
  <si>
    <t>Jurlander</t>
    <phoneticPr fontId="1" type="noConversion"/>
  </si>
  <si>
    <t>＜2h, ＞90</t>
    <phoneticPr fontId="1" type="noConversion"/>
  </si>
  <si>
    <t>＜2h, ＞110</t>
    <phoneticPr fontId="1" type="noConversion"/>
  </si>
  <si>
    <t>＜2h, ＞130</t>
    <phoneticPr fontId="1" type="noConversion"/>
  </si>
  <si>
    <t>＜2h, &gt;0.05</t>
    <phoneticPr fontId="1" type="noConversion"/>
  </si>
  <si>
    <t>＜2h, &gt;0.10</t>
    <phoneticPr fontId="1" type="noConversion"/>
  </si>
  <si>
    <t>＜2h, &gt;0.20</t>
    <phoneticPr fontId="1" type="noConversion"/>
  </si>
  <si>
    <t>2-6h, ＞90</t>
    <phoneticPr fontId="1" type="noConversion"/>
  </si>
  <si>
    <t>2-6h, &gt;0.05</t>
    <phoneticPr fontId="1" type="noConversion"/>
  </si>
  <si>
    <t>2-6h, ＞110</t>
    <phoneticPr fontId="1" type="noConversion"/>
  </si>
  <si>
    <t>2-6h, &gt;0.10</t>
    <phoneticPr fontId="1" type="noConversion"/>
  </si>
  <si>
    <t>2-6h, ＞130</t>
    <phoneticPr fontId="1" type="noConversion"/>
  </si>
  <si>
    <t>2-6h, &gt;0.20</t>
    <phoneticPr fontId="1" type="noConversion"/>
  </si>
  <si>
    <t>＞6h, ＞90</t>
    <phoneticPr fontId="1" type="noConversion"/>
  </si>
  <si>
    <t>＞6h, &gt;0.05</t>
    <phoneticPr fontId="1" type="noConversion"/>
  </si>
  <si>
    <t>＞6h, ＞110</t>
    <phoneticPr fontId="1" type="noConversion"/>
  </si>
  <si>
    <t>＞6h, &gt;0.10</t>
    <phoneticPr fontId="1" type="noConversion"/>
  </si>
  <si>
    <t>＞6h, ＞130</t>
    <phoneticPr fontId="1" type="noConversion"/>
  </si>
  <si>
    <t>＞6h, &gt;0.20</t>
    <phoneticPr fontId="1" type="noConversion"/>
  </si>
  <si>
    <t>Mathew</t>
    <phoneticPr fontId="1" type="noConversion"/>
  </si>
  <si>
    <t>cTnTqual</t>
    <phoneticPr fontId="1" type="noConversion"/>
  </si>
  <si>
    <t>cTnTquan</t>
    <phoneticPr fontId="1" type="noConversion"/>
  </si>
  <si>
    <t>Duca</t>
    <phoneticPr fontId="1" type="noConversion"/>
  </si>
  <si>
    <t>cTnI, cTnT</t>
    <phoneticPr fontId="1" type="noConversion"/>
  </si>
  <si>
    <t>Hillis</t>
    <phoneticPr fontId="1" type="noConversion"/>
  </si>
  <si>
    <t>24h</t>
    <phoneticPr fontId="1" type="noConversion"/>
  </si>
  <si>
    <t>TIMI</t>
    <phoneticPr fontId="1" type="noConversion"/>
  </si>
  <si>
    <t>TIMI+</t>
    <phoneticPr fontId="1" type="noConversion"/>
  </si>
  <si>
    <t>TIMI-</t>
    <phoneticPr fontId="1" type="noConversion"/>
  </si>
  <si>
    <t>1h</t>
    <phoneticPr fontId="1" type="noConversion"/>
  </si>
  <si>
    <t>Zaninotto</t>
    <phoneticPr fontId="1" type="noConversion"/>
  </si>
  <si>
    <t>24-72h</t>
    <phoneticPr fontId="1" type="noConversion"/>
  </si>
  <si>
    <t>Stewart</t>
    <phoneticPr fontId="1" type="noConversion"/>
  </si>
  <si>
    <t>0h, 0.5h, 1h, 1.5h, 2h</t>
    <phoneticPr fontId="1" type="noConversion"/>
  </si>
  <si>
    <t>Swaanenburg</t>
    <phoneticPr fontId="1" type="noConversion"/>
  </si>
  <si>
    <t>AMI, UAP, healthy</t>
    <phoneticPr fontId="1" type="noConversion"/>
  </si>
  <si>
    <t>UAP+</t>
    <phoneticPr fontId="1" type="noConversion"/>
  </si>
  <si>
    <t>0.95-1.00</t>
    <phoneticPr fontId="1" type="noConversion"/>
  </si>
  <si>
    <t>0.80-1.00</t>
    <phoneticPr fontId="1" type="noConversion"/>
  </si>
  <si>
    <t>0.60-0.96</t>
    <phoneticPr fontId="1" type="noConversion"/>
  </si>
  <si>
    <t>1h, marker ratio=1.5</t>
    <phoneticPr fontId="1" type="noConversion"/>
  </si>
  <si>
    <t>1h, marker ratio=5</t>
    <phoneticPr fontId="1" type="noConversion"/>
  </si>
  <si>
    <t>1.5h, marker ratio=5</t>
    <phoneticPr fontId="1" type="noConversion"/>
  </si>
  <si>
    <t>1.5h, marker ratio=10</t>
    <phoneticPr fontId="1" type="noConversion"/>
  </si>
  <si>
    <t>&lt;2h, 2-6h, &gt;6h</t>
    <phoneticPr fontId="1" type="noConversion"/>
  </si>
  <si>
    <t>0h, 4h, 8h, 16h, 24h</t>
    <phoneticPr fontId="1" type="noConversion"/>
  </si>
  <si>
    <t>0-6h, 6-12h, 12-24h, 24-72h</t>
    <phoneticPr fontId="1" type="noConversion"/>
  </si>
  <si>
    <t>Mair</t>
    <phoneticPr fontId="1" type="noConversion"/>
  </si>
  <si>
    <t>Tucker</t>
    <phoneticPr fontId="1" type="noConversion"/>
  </si>
  <si>
    <t>0h, 1h, 2h, 6h, 12-24h</t>
    <phoneticPr fontId="1" type="noConversion"/>
  </si>
  <si>
    <t>cTnI (0.6ng/mL)</t>
    <phoneticPr fontId="1" type="noConversion"/>
  </si>
  <si>
    <t>cTnT (0.1ng/mL)</t>
    <phoneticPr fontId="1" type="noConversion"/>
  </si>
  <si>
    <t>cTnI (1.5ng/mL)</t>
    <phoneticPr fontId="1" type="noConversion"/>
  </si>
  <si>
    <t>cTnT (0.2ng/mL)</t>
    <phoneticPr fontId="1" type="noConversion"/>
  </si>
  <si>
    <t>0-2h</t>
    <phoneticPr fontId="1" type="noConversion"/>
  </si>
  <si>
    <t>Fitzgerald</t>
    <phoneticPr fontId="1" type="noConversion"/>
  </si>
  <si>
    <t>unstable angina</t>
    <phoneticPr fontId="1" type="noConversion"/>
  </si>
  <si>
    <t xml:space="preserve">4h </t>
    <phoneticPr fontId="1" type="noConversion"/>
  </si>
  <si>
    <t>0-2h, 2-4h, 4-6h, 6-8h, 8-10h, 10-12</t>
    <phoneticPr fontId="1" type="noConversion"/>
  </si>
  <si>
    <t>Lindahl</t>
    <phoneticPr fontId="1" type="noConversion"/>
  </si>
  <si>
    <t>0h, 1h, 6h</t>
    <phoneticPr fontId="1" type="noConversion"/>
  </si>
  <si>
    <t>Bakker</t>
    <phoneticPr fontId="1" type="noConversion"/>
  </si>
  <si>
    <t>6-8h</t>
    <phoneticPr fontId="1" type="noConversion"/>
  </si>
  <si>
    <t>8-10h</t>
    <phoneticPr fontId="1" type="noConversion"/>
  </si>
  <si>
    <t>10-12h</t>
    <phoneticPr fontId="1" type="noConversion"/>
  </si>
  <si>
    <t>Thrombolysis in Myocardial Infarction</t>
    <phoneticPr fontId="1" type="noConversion"/>
  </si>
  <si>
    <t>측정시점</t>
    <phoneticPr fontId="1" type="noConversion"/>
  </si>
  <si>
    <t>AMI-</t>
    <phoneticPr fontId="1" type="noConversion"/>
  </si>
  <si>
    <t>cTnl</t>
    <phoneticPr fontId="1" type="noConversion"/>
  </si>
  <si>
    <t>cTnT, cTnI</t>
    <phoneticPr fontId="1" type="noConversion"/>
  </si>
  <si>
    <t>cTnT</t>
    <phoneticPr fontId="1" type="noConversion"/>
  </si>
  <si>
    <t>cTnI</t>
    <phoneticPr fontId="1" type="noConversion"/>
  </si>
  <si>
    <t>0h, 1.5, 3h</t>
    <phoneticPr fontId="1" type="noConversion"/>
  </si>
  <si>
    <t>AMI</t>
    <phoneticPr fontId="1" type="noConversion"/>
  </si>
  <si>
    <t>MI</t>
    <phoneticPr fontId="1" type="noConversion"/>
  </si>
  <si>
    <t>cut-point level=200ng/mL</t>
    <phoneticPr fontId="1" type="noConversion"/>
  </si>
  <si>
    <t>0h</t>
    <phoneticPr fontId="1" type="noConversion"/>
  </si>
  <si>
    <t>myo+cTnI</t>
    <phoneticPr fontId="1" type="noConversion"/>
  </si>
  <si>
    <t>2h</t>
    <phoneticPr fontId="1" type="noConversion"/>
  </si>
  <si>
    <t>＞85ng/ml</t>
    <phoneticPr fontId="1" type="noConversion"/>
  </si>
  <si>
    <t>cut-point level=0.4ng/mL</t>
    <phoneticPr fontId="1" type="noConversion"/>
  </si>
  <si>
    <t>NR</t>
    <phoneticPr fontId="1" type="noConversion"/>
  </si>
  <si>
    <t>&gt;0.6ng/mL ?</t>
    <phoneticPr fontId="1" type="noConversion"/>
  </si>
  <si>
    <t>TnI, TnT</t>
    <phoneticPr fontId="1" type="noConversion"/>
  </si>
  <si>
    <t>2h, 4h, 6h</t>
    <phoneticPr fontId="1" type="noConversion"/>
  </si>
  <si>
    <t>70ng/mL</t>
    <phoneticPr fontId="1" type="noConversion"/>
  </si>
  <si>
    <t>1ng/mL</t>
    <phoneticPr fontId="1" type="noConversion"/>
  </si>
  <si>
    <t>Tnl</t>
    <phoneticPr fontId="1" type="noConversion"/>
  </si>
  <si>
    <t>95.57㎍/L</t>
    <phoneticPr fontId="1" type="noConversion"/>
  </si>
  <si>
    <t>0.37㎍/L</t>
    <phoneticPr fontId="1" type="noConversion"/>
  </si>
  <si>
    <t>0.1㎍/L</t>
    <phoneticPr fontId="1" type="noConversion"/>
  </si>
  <si>
    <t>60㎍/L</t>
    <phoneticPr fontId="1" type="noConversion"/>
  </si>
  <si>
    <t>107ng/mL</t>
    <phoneticPr fontId="1" type="noConversion"/>
  </si>
  <si>
    <t>110㎍/L</t>
    <phoneticPr fontId="1" type="noConversion"/>
  </si>
  <si>
    <t>0h, 2h, 6h</t>
    <phoneticPr fontId="1" type="noConversion"/>
  </si>
  <si>
    <t>92ng/mL</t>
    <phoneticPr fontId="1" type="noConversion"/>
  </si>
  <si>
    <t>0.07ng/mL</t>
    <phoneticPr fontId="1" type="noConversion"/>
  </si>
  <si>
    <t>72ng/mL</t>
    <phoneticPr fontId="1" type="noConversion"/>
  </si>
  <si>
    <t>0.1ng/mL</t>
    <phoneticPr fontId="1" type="noConversion"/>
  </si>
  <si>
    <t>M: 81mg/dl, F: 52mg/dl</t>
    <phoneticPr fontId="1" type="noConversion"/>
  </si>
  <si>
    <t>0.1ng/ml</t>
    <phoneticPr fontId="1" type="noConversion"/>
  </si>
  <si>
    <t>0.4ng/mL, 0.3ng/mL</t>
    <phoneticPr fontId="1" type="noConversion"/>
  </si>
  <si>
    <t>86.6㎍/L</t>
    <phoneticPr fontId="1" type="noConversion"/>
  </si>
  <si>
    <t>0.47㎍/L</t>
    <phoneticPr fontId="1" type="noConversion"/>
  </si>
  <si>
    <t>68㎍/L, 86㎍/L</t>
    <phoneticPr fontId="1" type="noConversion"/>
  </si>
  <si>
    <t>0.03㎍/L, 0.04㎍/L, 0.05㎍/L, 0.06㎍/L</t>
    <phoneticPr fontId="1" type="noConversion"/>
  </si>
  <si>
    <t>21.75, 24.50, 44.25ng/mL</t>
    <phoneticPr fontId="1" type="noConversion"/>
  </si>
  <si>
    <t>0.25, 0.55, 1.35ng/mL</t>
    <phoneticPr fontId="1" type="noConversion"/>
  </si>
  <si>
    <t>23ng/ml</t>
    <phoneticPr fontId="1" type="noConversion"/>
  </si>
  <si>
    <t>0.05, 0.30ng/ml</t>
    <phoneticPr fontId="1" type="noConversion"/>
  </si>
  <si>
    <t>&gt;200ng/mL</t>
    <phoneticPr fontId="1" type="noConversion"/>
  </si>
  <si>
    <t>≥0.4ng/mL</t>
    <phoneticPr fontId="1" type="noConversion"/>
  </si>
  <si>
    <t>0h, 1.5h, 3h, 9h</t>
    <phoneticPr fontId="1" type="noConversion"/>
  </si>
  <si>
    <t>200ng/mL</t>
    <phoneticPr fontId="1" type="noConversion"/>
  </si>
  <si>
    <t>0.4ng/mL</t>
    <phoneticPr fontId="1" type="noConversion"/>
  </si>
  <si>
    <t>93ng/mL</t>
    <phoneticPr fontId="1" type="noConversion"/>
  </si>
  <si>
    <t>0.09ng/mL</t>
    <phoneticPr fontId="1" type="noConversion"/>
  </si>
  <si>
    <t>최적: 331, 261, 255, 297, 433, 396, 359㎍/L</t>
    <phoneticPr fontId="1" type="noConversion"/>
  </si>
  <si>
    <t>최적: 0.25, 0.65, 0.84, 1.0, 1.07, 0.75, 0.81㎍/L</t>
    <phoneticPr fontId="1" type="noConversion"/>
  </si>
  <si>
    <t>0, 2, 4, 8, 12, 16, 20h</t>
    <phoneticPr fontId="1" type="noConversion"/>
  </si>
  <si>
    <t>&gt;170ng/ml</t>
    <phoneticPr fontId="1" type="noConversion"/>
  </si>
  <si>
    <t xml:space="preserve">Sn, Sp, NPV </t>
    <phoneticPr fontId="1" type="noConversion"/>
  </si>
  <si>
    <t>&gt;80ng/mL</t>
    <phoneticPr fontId="1" type="noConversion"/>
  </si>
  <si>
    <t>&gt;0.1ng/mL</t>
    <phoneticPr fontId="1" type="noConversion"/>
  </si>
  <si>
    <t>≥0.2ng/mL</t>
    <phoneticPr fontId="1" type="noConversion"/>
  </si>
  <si>
    <t>≥110ng/mL</t>
    <phoneticPr fontId="1" type="noConversion"/>
  </si>
  <si>
    <t>0h, 3h, 6h</t>
    <phoneticPr fontId="1" type="noConversion"/>
  </si>
  <si>
    <t>URL: M: ≥76㎍/L, F: ≥67㎍/L</t>
    <phoneticPr fontId="1" type="noConversion"/>
  </si>
  <si>
    <t>0.06㎍/L</t>
    <phoneticPr fontId="1" type="noConversion"/>
  </si>
  <si>
    <t>70, 90, 120㎍/L</t>
    <phoneticPr fontId="1" type="noConversion"/>
  </si>
  <si>
    <t>URL: 100㎍/L</t>
    <phoneticPr fontId="1" type="noConversion"/>
  </si>
  <si>
    <t>0.2ng/mL</t>
    <phoneticPr fontId="1" type="noConversion"/>
  </si>
  <si>
    <r>
      <t>＞90, ＞110, ＞130㎍.1</t>
    </r>
    <r>
      <rPr>
        <vertAlign val="superscript"/>
        <sz val="10"/>
        <color theme="1"/>
        <rFont val="맑은 고딕"/>
        <family val="3"/>
        <charset val="129"/>
        <scheme val="minor"/>
      </rPr>
      <t>-1</t>
    </r>
    <phoneticPr fontId="1" type="noConversion"/>
  </si>
  <si>
    <r>
      <t>＞0.05, ＞0.10, ＞0.20㎍.1</t>
    </r>
    <r>
      <rPr>
        <vertAlign val="superscript"/>
        <sz val="10"/>
        <color theme="1"/>
        <rFont val="맑은 고딕"/>
        <family val="3"/>
        <charset val="129"/>
        <scheme val="minor"/>
      </rPr>
      <t>-1</t>
    </r>
    <phoneticPr fontId="1" type="noConversion"/>
  </si>
  <si>
    <t>cTnI, cTnT qual, cTnT quan</t>
    <phoneticPr fontId="1" type="noConversion"/>
  </si>
  <si>
    <t>0.5, 1.0, 2.0㎍/L</t>
    <phoneticPr fontId="1" type="noConversion"/>
  </si>
  <si>
    <t>cTnI: 1.0㎍/L, cTnT: &gt;0.1㎍/L</t>
    <phoneticPr fontId="1" type="noConversion"/>
  </si>
  <si>
    <t>≥92㎍/L</t>
    <phoneticPr fontId="1" type="noConversion"/>
  </si>
  <si>
    <t>12h</t>
    <phoneticPr fontId="1" type="noConversion"/>
  </si>
  <si>
    <t>ACS(AMI+UA)</t>
    <phoneticPr fontId="1" type="noConversion"/>
  </si>
  <si>
    <t>0h, 24h</t>
    <phoneticPr fontId="1" type="noConversion"/>
  </si>
  <si>
    <t>0.1㎍/L</t>
    <phoneticPr fontId="1" type="noConversion"/>
  </si>
  <si>
    <t>2.5㎍/L, 0.1㎍/L</t>
    <phoneticPr fontId="1" type="noConversion"/>
  </si>
  <si>
    <t>60㎍/L</t>
    <phoneticPr fontId="1" type="noConversion"/>
  </si>
  <si>
    <t>≥100ng/mL</t>
    <phoneticPr fontId="1" type="noConversion"/>
  </si>
  <si>
    <t>Upper reference limit: 70㎍/L</t>
    <phoneticPr fontId="1" type="noConversion"/>
  </si>
  <si>
    <t>0h 3h, 6h</t>
    <phoneticPr fontId="1" type="noConversion"/>
  </si>
  <si>
    <t>Upper reference limit: 0.4㎍/L</t>
    <phoneticPr fontId="1" type="noConversion"/>
  </si>
  <si>
    <t>107㎍/L</t>
    <phoneticPr fontId="1" type="noConversion"/>
  </si>
  <si>
    <t>0.4㎍/L</t>
    <phoneticPr fontId="1" type="noConversion"/>
  </si>
  <si>
    <t>URL: 70㎍/L</t>
    <phoneticPr fontId="1" type="noConversion"/>
  </si>
  <si>
    <t>URL: 0.1㎍/L</t>
    <phoneticPr fontId="1" type="noConversion"/>
  </si>
  <si>
    <t>2-6h</t>
    <phoneticPr fontId="1" type="noConversion"/>
  </si>
  <si>
    <t>110ng/mL</t>
    <phoneticPr fontId="1" type="noConversion"/>
  </si>
  <si>
    <t>0.6ng/mL, 0.1ng/mL</t>
    <phoneticPr fontId="1" type="noConversion"/>
  </si>
  <si>
    <t>MI</t>
    <phoneticPr fontId="1" type="noConversion"/>
  </si>
  <si>
    <t>110㎍/L</t>
    <phoneticPr fontId="1" type="noConversion"/>
  </si>
  <si>
    <t>&lt;0.1㎍/L</t>
    <phoneticPr fontId="1" type="noConversion"/>
  </si>
  <si>
    <t>&lt;=0.1ng/mL</t>
    <phoneticPr fontId="1" type="noConversion"/>
  </si>
  <si>
    <t>&lt;=110ng/mL</t>
    <phoneticPr fontId="1" type="noConversion"/>
  </si>
  <si>
    <t>cardiac events</t>
    <phoneticPr fontId="1" type="noConversion"/>
  </si>
  <si>
    <t>50㎍/L</t>
    <phoneticPr fontId="1" type="noConversion"/>
  </si>
  <si>
    <t>1㎍/L</t>
    <phoneticPr fontId="1" type="noConversion"/>
  </si>
  <si>
    <t>NR</t>
    <phoneticPr fontId="1" type="noConversion"/>
  </si>
  <si>
    <t>URL: 110㎍/L</t>
    <phoneticPr fontId="1" type="noConversion"/>
  </si>
  <si>
    <t>URL: 3.1㎍/L</t>
    <phoneticPr fontId="1" type="noConversion"/>
  </si>
  <si>
    <t>≥0.2㎍/L</t>
    <phoneticPr fontId="1" type="noConversion"/>
  </si>
  <si>
    <t>남: &gt;90㎍/L, 여: &gt;57㎍/L</t>
    <phoneticPr fontId="1" type="noConversion"/>
  </si>
  <si>
    <t xml:space="preserve">0h </t>
    <phoneticPr fontId="1" type="noConversion"/>
  </si>
  <si>
    <t>0.32㎍/L</t>
    <phoneticPr fontId="1" type="noConversion"/>
  </si>
  <si>
    <t>URL: 57.9㎍/L</t>
    <phoneticPr fontId="1" type="noConversion"/>
  </si>
  <si>
    <t>≤1h, 6h</t>
    <phoneticPr fontId="1" type="noConversion"/>
  </si>
  <si>
    <t>77.4ng/mL</t>
    <phoneticPr fontId="1" type="noConversion"/>
  </si>
  <si>
    <t>50ng/mL</t>
    <phoneticPr fontId="1" type="noConversion"/>
  </si>
  <si>
    <t>RR: 9-82ng/mL</t>
    <phoneticPr fontId="1" type="noConversion"/>
  </si>
  <si>
    <t>RR: 0-0.1ng/mL</t>
    <phoneticPr fontId="1" type="noConversion"/>
  </si>
  <si>
    <t>0.032ng/mL</t>
    <phoneticPr fontId="1" type="noConversion"/>
  </si>
  <si>
    <t>RR: 0-72ng/mL</t>
    <phoneticPr fontId="1" type="noConversion"/>
  </si>
  <si>
    <t>0h, 4h</t>
    <phoneticPr fontId="1" type="noConversion"/>
  </si>
  <si>
    <t>RR: 0.0-0.1ng/mL</t>
    <phoneticPr fontId="1" type="noConversion"/>
  </si>
  <si>
    <t>44.9ng/mL</t>
    <phoneticPr fontId="1" type="noConversion"/>
  </si>
  <si>
    <t>0.0095㎍/L, 0.03㎍/L</t>
    <phoneticPr fontId="1" type="noConversion"/>
  </si>
  <si>
    <t>0h, 12h</t>
    <phoneticPr fontId="1" type="noConversion"/>
  </si>
  <si>
    <t>0h, 6h</t>
    <phoneticPr fontId="1" type="noConversion"/>
  </si>
  <si>
    <t>＞0.45ng/mL</t>
    <phoneticPr fontId="1" type="noConversion"/>
  </si>
  <si>
    <t>&gt;64ng/mL</t>
    <phoneticPr fontId="1" type="noConversion"/>
  </si>
  <si>
    <t>61ng/mL</t>
    <phoneticPr fontId="1" type="noConversion"/>
  </si>
  <si>
    <t>0.03ng/mL</t>
    <phoneticPr fontId="1" type="noConversion"/>
  </si>
  <si>
    <t>adverse events</t>
    <phoneticPr fontId="1" type="noConversion"/>
  </si>
  <si>
    <t>Adidharma</t>
    <phoneticPr fontId="1" type="noConversion"/>
  </si>
  <si>
    <t>Pafiaoglu</t>
    <phoneticPr fontId="1" type="noConversion"/>
  </si>
  <si>
    <t>NR</t>
    <phoneticPr fontId="1" type="noConversion"/>
  </si>
  <si>
    <t>Poldervaart</t>
    <phoneticPr fontId="1" type="noConversion"/>
  </si>
  <si>
    <t>Sypniewska</t>
    <phoneticPr fontId="1" type="noConversion"/>
  </si>
  <si>
    <t>Jernberg</t>
    <phoneticPr fontId="1" type="noConversion"/>
  </si>
  <si>
    <t>85ng/mL</t>
    <phoneticPr fontId="1" type="noConversion"/>
  </si>
  <si>
    <t>0.11㎍/L</t>
    <phoneticPr fontId="1" type="noConversion"/>
  </si>
  <si>
    <t>&gt;60ng/mL</t>
    <phoneticPr fontId="1" type="noConversion"/>
  </si>
  <si>
    <t>ACS의심환자</t>
    <phoneticPr fontId="1" type="noConversion"/>
  </si>
  <si>
    <t>AMI</t>
    <phoneticPr fontId="1" type="noConversion"/>
  </si>
  <si>
    <t>TIMI</t>
    <phoneticPr fontId="1" type="noConversion"/>
  </si>
  <si>
    <t>PoMI</t>
    <phoneticPr fontId="1" type="noConversion"/>
  </si>
  <si>
    <t>Fan</t>
    <phoneticPr fontId="1" type="noConversion"/>
  </si>
  <si>
    <t>0.78ng/mL</t>
    <phoneticPr fontId="1" type="noConversion"/>
  </si>
  <si>
    <t>myo+cTnI</t>
    <phoneticPr fontId="1" type="noConversion"/>
  </si>
  <si>
    <t>Giavarina</t>
    <phoneticPr fontId="1" type="noConversion"/>
  </si>
  <si>
    <t>이탈리아</t>
    <phoneticPr fontId="1" type="noConversion"/>
  </si>
  <si>
    <t>병용</t>
    <phoneticPr fontId="1" type="noConversion"/>
  </si>
  <si>
    <t>NR</t>
    <phoneticPr fontId="1" type="noConversion"/>
  </si>
  <si>
    <t>0h, 3h, 6h, 12h</t>
    <phoneticPr fontId="1" type="noConversion"/>
  </si>
  <si>
    <t>hsTnI</t>
    <phoneticPr fontId="1" type="noConversion"/>
  </si>
  <si>
    <t>0.01ng/mL</t>
    <phoneticPr fontId="1" type="noConversion"/>
  </si>
  <si>
    <t>65㎍/L</t>
    <phoneticPr fontId="1" type="noConversion"/>
  </si>
  <si>
    <t>myo+hsTnI</t>
    <phoneticPr fontId="1" type="noConversion"/>
  </si>
  <si>
    <t>Tanaka</t>
    <phoneticPr fontId="1" type="noConversion"/>
  </si>
  <si>
    <t>일본</t>
    <phoneticPr fontId="1" type="noConversion"/>
  </si>
  <si>
    <t>80ng/mL</t>
    <phoneticPr fontId="1" type="noConversion"/>
  </si>
  <si>
    <t>0-3h, 0-6h, 0-12h</t>
    <phoneticPr fontId="1" type="noConversion"/>
  </si>
  <si>
    <t>단독</t>
    <phoneticPr fontId="1" type="noConversion"/>
  </si>
  <si>
    <t>0-12h</t>
    <phoneticPr fontId="1" type="noConversion"/>
  </si>
  <si>
    <t>Lim</t>
    <phoneticPr fontId="1" type="noConversion"/>
  </si>
  <si>
    <t>싱가포르</t>
    <phoneticPr fontId="1" type="noConversion"/>
  </si>
  <si>
    <t>116ng/mL</t>
    <phoneticPr fontId="1" type="noConversion"/>
  </si>
  <si>
    <t>2.0ng/mL</t>
    <phoneticPr fontId="1" type="noConversion"/>
  </si>
  <si>
    <t>0h</t>
    <phoneticPr fontId="1" type="noConversion"/>
  </si>
  <si>
    <t>4h+</t>
    <phoneticPr fontId="1" type="noConversion"/>
  </si>
  <si>
    <t>0h, 4h+</t>
    <phoneticPr fontId="1" type="noConversion"/>
  </si>
  <si>
    <t>독일</t>
    <phoneticPr fontId="1" type="noConversion"/>
  </si>
  <si>
    <t>Lestin</t>
    <phoneticPr fontId="1" type="noConversion"/>
  </si>
  <si>
    <t>TnT, TnI</t>
    <phoneticPr fontId="1" type="noConversion"/>
  </si>
  <si>
    <t>0h, 2h, 4h, 24h+</t>
    <phoneticPr fontId="1" type="noConversion"/>
  </si>
  <si>
    <t>24h+</t>
    <phoneticPr fontId="1" type="noConversion"/>
  </si>
  <si>
    <t>단독</t>
    <phoneticPr fontId="1" type="noConversion"/>
  </si>
  <si>
    <t>경과추적</t>
    <phoneticPr fontId="1" type="noConversion"/>
  </si>
  <si>
    <t>Jug</t>
    <phoneticPr fontId="1" type="noConversion"/>
  </si>
  <si>
    <t>크로아티아</t>
    <phoneticPr fontId="1" type="noConversion"/>
  </si>
  <si>
    <t>0-2h</t>
    <phoneticPr fontId="1" type="noConversion"/>
  </si>
  <si>
    <t>2-4h</t>
    <phoneticPr fontId="1" type="noConversion"/>
  </si>
  <si>
    <t>4-6h</t>
    <phoneticPr fontId="1" type="noConversion"/>
  </si>
  <si>
    <t>1.4ng/mL</t>
    <phoneticPr fontId="1" type="noConversion"/>
  </si>
  <si>
    <t>0-2h, 2-4h, 4-6h</t>
    <phoneticPr fontId="1" type="noConversion"/>
  </si>
  <si>
    <t>Wu</t>
    <phoneticPr fontId="1" type="noConversion"/>
  </si>
  <si>
    <t>미국</t>
    <phoneticPr fontId="1" type="noConversion"/>
  </si>
  <si>
    <t>60ng/mL</t>
    <phoneticPr fontId="1" type="noConversion"/>
  </si>
  <si>
    <t>0.5ng/mL</t>
    <phoneticPr fontId="1" type="noConversion"/>
  </si>
  <si>
    <t>Laperche</t>
    <phoneticPr fontId="1" type="noConversion"/>
  </si>
  <si>
    <t>프랑스</t>
    <phoneticPr fontId="1" type="noConversion"/>
  </si>
  <si>
    <t>7㎍/L</t>
    <phoneticPr fontId="1" type="noConversion"/>
  </si>
  <si>
    <t>0h, 3h+</t>
    <phoneticPr fontId="1" type="noConversion"/>
  </si>
  <si>
    <t>0.01㎍/L</t>
    <phoneticPr fontId="1" type="noConversion"/>
  </si>
  <si>
    <t>TIMI3</t>
    <phoneticPr fontId="1" type="noConversion"/>
  </si>
  <si>
    <t>TIMI &lt;2</t>
    <phoneticPr fontId="1" type="noConversion"/>
  </si>
  <si>
    <t>3h+</t>
    <phoneticPr fontId="1" type="noConversion"/>
  </si>
  <si>
    <t>Fromm</t>
    <phoneticPr fontId="1" type="noConversion"/>
  </si>
  <si>
    <t>0h, 2h, 4h, 6h, 10h, 14h, 18h</t>
    <phoneticPr fontId="1" type="noConversion"/>
  </si>
  <si>
    <t>10h</t>
    <phoneticPr fontId="1" type="noConversion"/>
  </si>
  <si>
    <t>14h</t>
    <phoneticPr fontId="1" type="noConversion"/>
  </si>
  <si>
    <t>18h</t>
    <phoneticPr fontId="1" type="noConversion"/>
  </si>
  <si>
    <t>구분</t>
    <phoneticPr fontId="1" type="noConversion"/>
  </si>
  <si>
    <t>NR</t>
  </si>
  <si>
    <t>myo+TnI</t>
    <phoneticPr fontId="1" type="noConversion"/>
  </si>
  <si>
    <t>delta myo+cTnI</t>
    <phoneticPr fontId="1" type="noConversion"/>
  </si>
  <si>
    <t>myo+TnT</t>
    <phoneticPr fontId="1" type="noConversion"/>
  </si>
  <si>
    <t>2h</t>
    <phoneticPr fontId="1" type="noConversion"/>
  </si>
  <si>
    <t>myo doubling+TnT</t>
    <phoneticPr fontId="1" type="noConversion"/>
  </si>
  <si>
    <t>0h</t>
    <phoneticPr fontId="1" type="noConversion"/>
  </si>
  <si>
    <t>≤1h</t>
    <phoneticPr fontId="1" type="noConversion"/>
  </si>
  <si>
    <t>NR</t>
    <phoneticPr fontId="1" type="noConversion"/>
  </si>
  <si>
    <t>cTnT</t>
    <phoneticPr fontId="1" type="noConversion"/>
  </si>
  <si>
    <t>NR</t>
    <phoneticPr fontId="1" type="noConversion"/>
  </si>
  <si>
    <t>2h</t>
    <phoneticPr fontId="1" type="noConversion"/>
  </si>
  <si>
    <t>4h</t>
    <phoneticPr fontId="1" type="noConversion"/>
  </si>
  <si>
    <t>0-6h</t>
    <phoneticPr fontId="1" type="noConversion"/>
  </si>
  <si>
    <t>AEs+</t>
    <phoneticPr fontId="1" type="noConversion"/>
  </si>
  <si>
    <t>AEs-</t>
    <phoneticPr fontId="1" type="noConversion"/>
  </si>
  <si>
    <t>1mo</t>
    <phoneticPr fontId="1" type="noConversion"/>
  </si>
  <si>
    <t>myo+cTnT</t>
    <phoneticPr fontId="1" type="noConversion"/>
  </si>
  <si>
    <t>국내12</t>
    <phoneticPr fontId="1" type="noConversion"/>
  </si>
  <si>
    <t>김영준</t>
    <phoneticPr fontId="1" type="noConversion"/>
  </si>
  <si>
    <t>한국</t>
    <phoneticPr fontId="1" type="noConversion"/>
  </si>
  <si>
    <t>국내12</t>
    <phoneticPr fontId="1" type="noConversion"/>
  </si>
  <si>
    <t>한국</t>
    <phoneticPr fontId="1" type="noConversion"/>
  </si>
  <si>
    <t>TnI</t>
    <phoneticPr fontId="1" type="noConversion"/>
  </si>
  <si>
    <t>&lt;4h</t>
    <phoneticPr fontId="1" type="noConversion"/>
  </si>
  <si>
    <t>4-24h</t>
    <phoneticPr fontId="1" type="noConversion"/>
  </si>
  <si>
    <t>국내17</t>
    <phoneticPr fontId="1" type="noConversion"/>
  </si>
  <si>
    <t>2h</t>
    <phoneticPr fontId="1" type="noConversion"/>
  </si>
  <si>
    <t>6h</t>
    <phoneticPr fontId="1" type="noConversion"/>
  </si>
  <si>
    <t>국내34</t>
    <phoneticPr fontId="1" type="noConversion"/>
  </si>
  <si>
    <t>cTnI</t>
    <phoneticPr fontId="1" type="noConversion"/>
  </si>
  <si>
    <t>NR</t>
    <phoneticPr fontId="1" type="noConversion"/>
  </si>
  <si>
    <t>국내17</t>
    <phoneticPr fontId="1" type="noConversion"/>
  </si>
  <si>
    <t>김장영</t>
    <phoneticPr fontId="1" type="noConversion"/>
  </si>
  <si>
    <t>국내34</t>
    <phoneticPr fontId="1" type="noConversion"/>
  </si>
  <si>
    <t>이광희</t>
    <phoneticPr fontId="1" type="noConversion"/>
  </si>
  <si>
    <t>단독</t>
    <phoneticPr fontId="1" type="noConversion"/>
  </si>
  <si>
    <t>T2</t>
    <phoneticPr fontId="1" type="noConversion"/>
  </si>
  <si>
    <t>T6</t>
    <phoneticPr fontId="1" type="noConversion"/>
  </si>
  <si>
    <t>McCord</t>
  </si>
  <si>
    <t>미국</t>
  </si>
  <si>
    <t>Cheema</t>
  </si>
  <si>
    <t>Adidharma</t>
  </si>
  <si>
    <t>Wang</t>
  </si>
  <si>
    <t>중국</t>
  </si>
  <si>
    <t>Poldervaart</t>
  </si>
  <si>
    <t>Banu</t>
  </si>
  <si>
    <t>Limon</t>
  </si>
  <si>
    <t>Aldous</t>
  </si>
  <si>
    <t>McMahon</t>
  </si>
  <si>
    <t>아일랜드</t>
  </si>
  <si>
    <t>Elmadbouh</t>
  </si>
  <si>
    <t>Bozkurt</t>
  </si>
  <si>
    <t>Liang</t>
  </si>
  <si>
    <t>Scharnhorst</t>
  </si>
  <si>
    <t>Kim</t>
  </si>
  <si>
    <t>Kurz</t>
  </si>
  <si>
    <t>Keller</t>
  </si>
  <si>
    <t>Cete</t>
  </si>
  <si>
    <t>Ho</t>
  </si>
  <si>
    <t>Sypniewska</t>
  </si>
  <si>
    <t>Mion</t>
  </si>
  <si>
    <t>이탈리아</t>
  </si>
  <si>
    <t>Cameron</t>
  </si>
  <si>
    <t>Amodio</t>
  </si>
  <si>
    <t>Pafiaoglu</t>
  </si>
  <si>
    <t>스웨덴</t>
  </si>
  <si>
    <t>Jordanova</t>
  </si>
  <si>
    <t>Melanson</t>
  </si>
  <si>
    <t>Seino</t>
  </si>
  <si>
    <t>Nakata</t>
  </si>
  <si>
    <t>Fransen</t>
  </si>
  <si>
    <t>Ming</t>
  </si>
  <si>
    <t>Haastrup</t>
  </si>
  <si>
    <t>Stork</t>
  </si>
  <si>
    <t>Green</t>
  </si>
  <si>
    <t>Gustafsson</t>
  </si>
  <si>
    <t>Jernberg</t>
  </si>
  <si>
    <t>Sonel</t>
  </si>
  <si>
    <t>Jurlander</t>
  </si>
  <si>
    <t>Mathew</t>
  </si>
  <si>
    <t>Duca</t>
  </si>
  <si>
    <t>Hillis</t>
  </si>
  <si>
    <t>Zaninotto</t>
  </si>
  <si>
    <t>Apple</t>
  </si>
  <si>
    <t>Stewart</t>
  </si>
  <si>
    <t>Swaanenburg</t>
  </si>
  <si>
    <t>Tucker</t>
  </si>
  <si>
    <t>Fitzgerald</t>
  </si>
  <si>
    <t>Lindahl</t>
  </si>
  <si>
    <t>Mair</t>
  </si>
  <si>
    <t>Bakker</t>
  </si>
  <si>
    <t>Fan</t>
  </si>
  <si>
    <t>Giavarina</t>
  </si>
  <si>
    <t>Tanaka</t>
  </si>
  <si>
    <t>Lim</t>
  </si>
  <si>
    <t>Lestin</t>
  </si>
  <si>
    <t>Jug</t>
  </si>
  <si>
    <t>크로아티아</t>
  </si>
  <si>
    <t>Wu</t>
  </si>
  <si>
    <t>Laperche</t>
  </si>
  <si>
    <t>Fromm</t>
  </si>
  <si>
    <t>&lt;24h</t>
    <phoneticPr fontId="1" type="noConversion"/>
  </si>
  <si>
    <t>No</t>
    <phoneticPr fontId="1" type="noConversion"/>
  </si>
  <si>
    <t>중재/비교검사</t>
    <phoneticPr fontId="1" type="noConversion"/>
  </si>
  <si>
    <t>Maisel</t>
  </si>
  <si>
    <t>김영준</t>
  </si>
  <si>
    <t>이광희</t>
  </si>
  <si>
    <t>김장영</t>
  </si>
  <si>
    <t>NR</t>
    <phoneticPr fontId="1" type="noConversion"/>
  </si>
  <si>
    <t>중재/비교검사</t>
    <phoneticPr fontId="1" type="noConversion"/>
  </si>
  <si>
    <t>중재검사/비교검사</t>
    <phoneticPr fontId="1" type="noConversion"/>
  </si>
  <si>
    <t>NR</t>
    <phoneticPr fontId="1" type="noConversion"/>
  </si>
  <si>
    <t>&lt;4h, 4-24h</t>
    <phoneticPr fontId="1" type="noConversion"/>
  </si>
  <si>
    <t>TnI(POCT), TnI(Lab)</t>
    <phoneticPr fontId="1" type="noConversion"/>
  </si>
  <si>
    <t>121.0ng/mL</t>
    <phoneticPr fontId="1" type="noConversion"/>
  </si>
  <si>
    <t>0.4ng/mL</t>
    <phoneticPr fontId="1" type="noConversion"/>
  </si>
  <si>
    <t>0.2ng/dL</t>
    <phoneticPr fontId="1" type="noConversion"/>
  </si>
  <si>
    <t>90ng/ml</t>
    <phoneticPr fontId="1" type="noConversion"/>
  </si>
  <si>
    <t>2h, 6h</t>
    <phoneticPr fontId="1" type="noConversion"/>
  </si>
  <si>
    <r>
      <t>논문에 보고된</t>
    </r>
    <r>
      <rPr>
        <b/>
        <sz val="10"/>
        <color rgb="FFFF0000"/>
        <rFont val="맑은 고딕"/>
        <family val="3"/>
        <charset val="129"/>
        <scheme val="minor"/>
      </rPr>
      <t xml:space="preserve"> </t>
    </r>
    <r>
      <rPr>
        <b/>
        <sz val="10"/>
        <color theme="1"/>
        <rFont val="맑은 고딕"/>
        <family val="3"/>
        <charset val="129"/>
        <scheme val="minor"/>
      </rPr>
      <t>진단정확도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</si>
</sst>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vertAlign val="superscript"/>
      <sz val="10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" fontId="3" fillId="0" borderId="0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2" fontId="3" fillId="0" borderId="0" xfId="0" applyNumberFormat="1" applyFont="1" applyFill="1" applyBorder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Border="1">
      <alignment vertical="center"/>
    </xf>
    <xf numFmtId="176" fontId="10" fillId="0" borderId="0" xfId="0" applyNumberFormat="1" applyFont="1" applyFill="1">
      <alignment vertical="center"/>
    </xf>
    <xf numFmtId="0" fontId="3" fillId="8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2" fontId="7" fillId="8" borderId="0" xfId="0" applyNumberFormat="1" applyFont="1" applyFill="1" applyBorder="1">
      <alignment vertical="center"/>
    </xf>
    <xf numFmtId="2" fontId="3" fillId="8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" fontId="3" fillId="2" borderId="0" xfId="0" applyNumberFormat="1" applyFont="1" applyFill="1" applyBorder="1">
      <alignment vertical="center"/>
    </xf>
    <xf numFmtId="2" fontId="3" fillId="2" borderId="0" xfId="0" applyNumberFormat="1" applyFont="1" applyFill="1" applyBorder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>
      <alignment vertical="center"/>
    </xf>
    <xf numFmtId="0" fontId="3" fillId="8" borderId="0" xfId="0" applyFont="1" applyFill="1">
      <alignment vertical="center"/>
    </xf>
    <xf numFmtId="1" fontId="3" fillId="8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2" fontId="10" fillId="2" borderId="0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zoomScale="70" zoomScaleNormal="70" workbookViewId="0">
      <pane ySplit="1" topLeftCell="A17" activePane="bottomLeft" state="frozen"/>
      <selection activeCell="H24" sqref="H24"/>
      <selection pane="bottomLeft" activeCell="Q25" sqref="Q25"/>
    </sheetView>
  </sheetViews>
  <sheetFormatPr defaultRowHeight="13.5" x14ac:dyDescent="0.3"/>
  <cols>
    <col min="1" max="1" width="4.5" style="1" bestFit="1" customWidth="1"/>
    <col min="2" max="2" width="12.625" style="44" bestFit="1" customWidth="1"/>
    <col min="3" max="3" width="6.5" style="11" bestFit="1" customWidth="1"/>
    <col min="4" max="4" width="11.25" style="2" customWidth="1"/>
    <col min="5" max="5" width="9.875" style="1" bestFit="1" customWidth="1"/>
    <col min="6" max="6" width="13.375" style="6" customWidth="1"/>
    <col min="7" max="7" width="11.625" style="2" customWidth="1"/>
    <col min="8" max="8" width="22" style="2" bestFit="1" customWidth="1"/>
    <col min="9" max="9" width="10" style="2" customWidth="1"/>
    <col min="10" max="10" width="11.75" style="1" customWidth="1"/>
    <col min="11" max="11" width="17" style="2" customWidth="1"/>
    <col min="12" max="12" width="12.5" style="1" customWidth="1"/>
    <col min="13" max="13" width="14.625" style="1" customWidth="1"/>
    <col min="14" max="14" width="12.875" style="1" customWidth="1"/>
    <col min="15" max="15" width="18.375" style="1" customWidth="1"/>
    <col min="16" max="16" width="13.875" style="2" customWidth="1"/>
    <col min="17" max="17" width="27.75" style="1" bestFit="1" customWidth="1"/>
    <col min="18" max="18" width="9.5" style="1" customWidth="1"/>
    <col min="19" max="16384" width="9" style="1"/>
  </cols>
  <sheetData>
    <row r="1" spans="1:18" s="7" customFormat="1" ht="16.5" customHeight="1" x14ac:dyDescent="0.3">
      <c r="A1" s="94" t="s">
        <v>610</v>
      </c>
      <c r="B1" s="50" t="s">
        <v>506</v>
      </c>
      <c r="C1" s="12" t="s">
        <v>0</v>
      </c>
      <c r="D1" s="12" t="s">
        <v>1</v>
      </c>
      <c r="E1" s="12" t="s">
        <v>33</v>
      </c>
      <c r="F1" s="37" t="s">
        <v>3</v>
      </c>
      <c r="G1" s="30" t="s">
        <v>2</v>
      </c>
      <c r="H1" s="12" t="s">
        <v>29</v>
      </c>
      <c r="I1" s="12" t="s">
        <v>30</v>
      </c>
      <c r="J1" s="13" t="s">
        <v>47</v>
      </c>
      <c r="K1" s="12" t="s">
        <v>48</v>
      </c>
      <c r="L1" s="30" t="s">
        <v>49</v>
      </c>
      <c r="M1" s="12" t="s">
        <v>50</v>
      </c>
      <c r="N1" s="12" t="s">
        <v>40</v>
      </c>
      <c r="O1" s="13" t="s">
        <v>42</v>
      </c>
      <c r="P1" s="30" t="s">
        <v>48</v>
      </c>
      <c r="Q1" s="13" t="s">
        <v>31</v>
      </c>
      <c r="R1" s="30" t="s">
        <v>151</v>
      </c>
    </row>
    <row r="2" spans="1:18" s="19" customFormat="1" ht="17.25" customHeight="1" x14ac:dyDescent="0.3">
      <c r="A2" s="95">
        <v>1</v>
      </c>
      <c r="B2" s="14" t="s">
        <v>455</v>
      </c>
      <c r="C2" s="50">
        <v>555</v>
      </c>
      <c r="D2" s="23" t="s">
        <v>450</v>
      </c>
      <c r="E2" s="96">
        <v>2017</v>
      </c>
      <c r="F2" s="23" t="s">
        <v>38</v>
      </c>
      <c r="G2" s="29" t="s">
        <v>43</v>
      </c>
      <c r="H2" s="23" t="s">
        <v>61</v>
      </c>
      <c r="I2" s="23">
        <f>208+115</f>
        <v>323</v>
      </c>
      <c r="J2" s="90" t="s">
        <v>39</v>
      </c>
      <c r="K2" s="23" t="s">
        <v>378</v>
      </c>
      <c r="L2" s="33" t="s">
        <v>244</v>
      </c>
      <c r="M2" s="18" t="s">
        <v>61</v>
      </c>
      <c r="N2" s="55" t="s">
        <v>41</v>
      </c>
      <c r="O2" s="31" t="s">
        <v>51</v>
      </c>
      <c r="P2" s="29" t="s">
        <v>451</v>
      </c>
      <c r="Q2" s="31" t="s">
        <v>32</v>
      </c>
      <c r="R2" s="33"/>
    </row>
    <row r="3" spans="1:18" s="19" customFormat="1" ht="17.25" customHeight="1" x14ac:dyDescent="0.3">
      <c r="A3" s="95">
        <v>2</v>
      </c>
      <c r="B3" s="14" t="s">
        <v>480</v>
      </c>
      <c r="C3" s="97">
        <v>6275</v>
      </c>
      <c r="D3" s="23" t="s">
        <v>52</v>
      </c>
      <c r="E3" s="96">
        <v>2021</v>
      </c>
      <c r="F3" s="23" t="s">
        <v>53</v>
      </c>
      <c r="G3" s="28" t="s">
        <v>43</v>
      </c>
      <c r="H3" s="8" t="s">
        <v>61</v>
      </c>
      <c r="I3" s="8">
        <v>140</v>
      </c>
      <c r="J3" s="90" t="s">
        <v>39</v>
      </c>
      <c r="K3" s="23" t="s">
        <v>55</v>
      </c>
      <c r="L3" s="33" t="s">
        <v>297</v>
      </c>
      <c r="M3" s="10" t="s">
        <v>61</v>
      </c>
      <c r="N3" s="78" t="s">
        <v>41</v>
      </c>
      <c r="O3" s="90" t="s">
        <v>331</v>
      </c>
      <c r="P3" s="91" t="s">
        <v>329</v>
      </c>
      <c r="Q3" s="31" t="s">
        <v>59</v>
      </c>
      <c r="R3" s="33"/>
    </row>
    <row r="4" spans="1:18" s="19" customFormat="1" ht="17.25" customHeight="1" x14ac:dyDescent="0.3">
      <c r="A4" s="95">
        <v>3</v>
      </c>
      <c r="B4" s="14" t="s">
        <v>480</v>
      </c>
      <c r="C4" s="97">
        <v>7009</v>
      </c>
      <c r="D4" s="23" t="s">
        <v>437</v>
      </c>
      <c r="E4" s="98">
        <v>2020</v>
      </c>
      <c r="F4" s="23" t="s">
        <v>58</v>
      </c>
      <c r="G4" s="28" t="s">
        <v>43</v>
      </c>
      <c r="H4" s="8" t="s">
        <v>446</v>
      </c>
      <c r="I4" s="8">
        <v>33</v>
      </c>
      <c r="J4" s="90" t="s">
        <v>39</v>
      </c>
      <c r="K4" s="23" t="s">
        <v>55</v>
      </c>
      <c r="L4" s="33" t="s">
        <v>419</v>
      </c>
      <c r="M4" s="10" t="s">
        <v>61</v>
      </c>
      <c r="N4" s="78" t="s">
        <v>41</v>
      </c>
      <c r="O4" s="90" t="s">
        <v>51</v>
      </c>
      <c r="P4" s="91" t="s">
        <v>411</v>
      </c>
      <c r="Q4" s="31" t="s">
        <v>60</v>
      </c>
      <c r="R4" s="33"/>
    </row>
    <row r="5" spans="1:18" s="19" customFormat="1" ht="17.25" customHeight="1" x14ac:dyDescent="0.3">
      <c r="A5" s="95">
        <v>4</v>
      </c>
      <c r="B5" s="14" t="s">
        <v>480</v>
      </c>
      <c r="C5" s="50">
        <v>750</v>
      </c>
      <c r="D5" s="23" t="s">
        <v>440</v>
      </c>
      <c r="E5" s="14">
        <v>2015</v>
      </c>
      <c r="F5" s="23" t="s">
        <v>67</v>
      </c>
      <c r="G5" s="29" t="s">
        <v>43</v>
      </c>
      <c r="H5" s="18" t="s">
        <v>69</v>
      </c>
      <c r="I5" s="23">
        <v>453</v>
      </c>
      <c r="J5" s="90" t="s">
        <v>39</v>
      </c>
      <c r="K5" s="23" t="s">
        <v>421</v>
      </c>
      <c r="L5" s="33" t="s">
        <v>411</v>
      </c>
      <c r="M5" s="18" t="s">
        <v>68</v>
      </c>
      <c r="N5" s="55" t="s">
        <v>41</v>
      </c>
      <c r="O5" s="31" t="s">
        <v>71</v>
      </c>
      <c r="P5" s="29" t="s">
        <v>411</v>
      </c>
      <c r="Q5" s="31" t="s">
        <v>70</v>
      </c>
      <c r="R5" s="33"/>
    </row>
    <row r="6" spans="1:18" s="19" customFormat="1" ht="17.25" customHeight="1" x14ac:dyDescent="0.3">
      <c r="A6" s="95">
        <v>5</v>
      </c>
      <c r="B6" s="14" t="s">
        <v>455</v>
      </c>
      <c r="C6" s="97">
        <v>8303</v>
      </c>
      <c r="D6" s="23" t="s">
        <v>37</v>
      </c>
      <c r="E6" s="96">
        <v>2017</v>
      </c>
      <c r="F6" s="23" t="s">
        <v>38</v>
      </c>
      <c r="G6" s="101" t="s">
        <v>44</v>
      </c>
      <c r="H6" s="23" t="s">
        <v>45</v>
      </c>
      <c r="I6" s="23" t="s">
        <v>46</v>
      </c>
      <c r="J6" s="90" t="s">
        <v>39</v>
      </c>
      <c r="K6" s="9" t="s">
        <v>329</v>
      </c>
      <c r="L6" s="91" t="s">
        <v>332</v>
      </c>
      <c r="M6" s="18" t="s">
        <v>61</v>
      </c>
      <c r="N6" s="55" t="s">
        <v>41</v>
      </c>
      <c r="O6" s="90" t="s">
        <v>316</v>
      </c>
      <c r="P6" s="91" t="s">
        <v>329</v>
      </c>
      <c r="Q6" s="35" t="s">
        <v>32</v>
      </c>
      <c r="R6" s="36"/>
    </row>
    <row r="7" spans="1:18" s="19" customFormat="1" ht="17.25" customHeight="1" x14ac:dyDescent="0.3">
      <c r="A7" s="95">
        <v>6</v>
      </c>
      <c r="B7" s="14" t="s">
        <v>455</v>
      </c>
      <c r="C7" s="50">
        <v>1284</v>
      </c>
      <c r="D7" s="23" t="s">
        <v>79</v>
      </c>
      <c r="E7" s="14">
        <v>2012</v>
      </c>
      <c r="F7" s="23" t="s">
        <v>80</v>
      </c>
      <c r="G7" s="101" t="s">
        <v>44</v>
      </c>
      <c r="H7" s="23" t="s">
        <v>54</v>
      </c>
      <c r="I7" s="23">
        <v>1128</v>
      </c>
      <c r="J7" s="90" t="s">
        <v>39</v>
      </c>
      <c r="K7" s="23" t="s">
        <v>336</v>
      </c>
      <c r="L7" s="33" t="s">
        <v>82</v>
      </c>
      <c r="M7" s="18" t="s">
        <v>61</v>
      </c>
      <c r="N7" s="55" t="s">
        <v>41</v>
      </c>
      <c r="O7" s="90" t="s">
        <v>316</v>
      </c>
      <c r="P7" s="29" t="s">
        <v>337</v>
      </c>
      <c r="Q7" s="31" t="s">
        <v>83</v>
      </c>
      <c r="R7" s="33"/>
    </row>
    <row r="8" spans="1:18" s="19" customFormat="1" ht="17.25" customHeight="1" x14ac:dyDescent="0.3">
      <c r="A8" s="95">
        <v>7</v>
      </c>
      <c r="B8" s="14" t="s">
        <v>480</v>
      </c>
      <c r="C8" s="50">
        <v>864</v>
      </c>
      <c r="D8" s="23" t="s">
        <v>75</v>
      </c>
      <c r="E8" s="14">
        <v>2014</v>
      </c>
      <c r="F8" s="23" t="s">
        <v>74</v>
      </c>
      <c r="G8" s="101" t="s">
        <v>44</v>
      </c>
      <c r="H8" s="23" t="s">
        <v>54</v>
      </c>
      <c r="I8" s="23">
        <v>66</v>
      </c>
      <c r="J8" s="90" t="s">
        <v>39</v>
      </c>
      <c r="K8" s="23" t="s">
        <v>422</v>
      </c>
      <c r="L8" s="33" t="s">
        <v>411</v>
      </c>
      <c r="M8" s="18" t="s">
        <v>68</v>
      </c>
      <c r="N8" s="55" t="s">
        <v>41</v>
      </c>
      <c r="O8" s="90" t="s">
        <v>316</v>
      </c>
      <c r="P8" s="29" t="s">
        <v>423</v>
      </c>
      <c r="Q8" s="31" t="s">
        <v>60</v>
      </c>
      <c r="R8" s="33"/>
    </row>
    <row r="9" spans="1:18" s="19" customFormat="1" ht="17.25" customHeight="1" x14ac:dyDescent="0.3">
      <c r="A9" s="95">
        <v>8</v>
      </c>
      <c r="B9" s="14" t="s">
        <v>480</v>
      </c>
      <c r="C9" s="97">
        <v>9705</v>
      </c>
      <c r="D9" s="23" t="s">
        <v>76</v>
      </c>
      <c r="E9" s="96">
        <v>2014</v>
      </c>
      <c r="F9" s="23" t="s">
        <v>38</v>
      </c>
      <c r="G9" s="29" t="s">
        <v>43</v>
      </c>
      <c r="H9" s="23" t="s">
        <v>54</v>
      </c>
      <c r="I9" s="23">
        <v>40</v>
      </c>
      <c r="J9" s="90" t="s">
        <v>39</v>
      </c>
      <c r="K9" s="23" t="s">
        <v>333</v>
      </c>
      <c r="L9" s="33" t="s">
        <v>167</v>
      </c>
      <c r="M9" s="18" t="s">
        <v>61</v>
      </c>
      <c r="N9" s="78" t="s">
        <v>41</v>
      </c>
      <c r="O9" s="90" t="s">
        <v>335</v>
      </c>
      <c r="P9" s="29" t="s">
        <v>334</v>
      </c>
      <c r="Q9" s="31" t="s">
        <v>66</v>
      </c>
      <c r="R9" s="54"/>
    </row>
    <row r="10" spans="1:18" s="19" customFormat="1" ht="17.25" customHeight="1" x14ac:dyDescent="0.3">
      <c r="A10" s="95">
        <v>9</v>
      </c>
      <c r="B10" s="14" t="s">
        <v>480</v>
      </c>
      <c r="C10" s="50">
        <v>1227</v>
      </c>
      <c r="D10" s="23" t="s">
        <v>77</v>
      </c>
      <c r="E10" s="99">
        <v>2012</v>
      </c>
      <c r="F10" s="23" t="s">
        <v>78</v>
      </c>
      <c r="G10" s="28" t="s">
        <v>43</v>
      </c>
      <c r="H10" s="8" t="s">
        <v>54</v>
      </c>
      <c r="I10" s="8">
        <v>995</v>
      </c>
      <c r="J10" s="90" t="s">
        <v>39</v>
      </c>
      <c r="K10" s="23" t="s">
        <v>420</v>
      </c>
      <c r="L10" s="33" t="s">
        <v>411</v>
      </c>
      <c r="M10" s="10" t="s">
        <v>68</v>
      </c>
      <c r="N10" s="78" t="s">
        <v>41</v>
      </c>
      <c r="O10" s="90" t="s">
        <v>316</v>
      </c>
      <c r="P10" s="29" t="s">
        <v>424</v>
      </c>
      <c r="Q10" s="32" t="s">
        <v>32</v>
      </c>
      <c r="R10" s="34"/>
    </row>
    <row r="11" spans="1:18" ht="17.25" customHeight="1" x14ac:dyDescent="0.3">
      <c r="A11" s="95">
        <v>10</v>
      </c>
      <c r="B11" s="14" t="s">
        <v>480</v>
      </c>
      <c r="C11" s="50">
        <v>11546</v>
      </c>
      <c r="D11" s="23" t="s">
        <v>84</v>
      </c>
      <c r="E11" s="99">
        <v>2012</v>
      </c>
      <c r="F11" s="23" t="s">
        <v>85</v>
      </c>
      <c r="G11" s="101" t="s">
        <v>44</v>
      </c>
      <c r="H11" s="8" t="s">
        <v>54</v>
      </c>
      <c r="I11" s="8">
        <v>67</v>
      </c>
      <c r="J11" s="90" t="s">
        <v>39</v>
      </c>
      <c r="K11" s="23" t="s">
        <v>443</v>
      </c>
      <c r="L11" s="33" t="s">
        <v>86</v>
      </c>
      <c r="M11" s="18" t="s">
        <v>61</v>
      </c>
      <c r="N11" s="78" t="s">
        <v>41</v>
      </c>
      <c r="O11" s="90" t="s">
        <v>316</v>
      </c>
      <c r="P11" s="29" t="s">
        <v>444</v>
      </c>
      <c r="Q11" s="32" t="s">
        <v>87</v>
      </c>
      <c r="R11" s="34"/>
    </row>
    <row r="12" spans="1:18" ht="17.25" customHeight="1" x14ac:dyDescent="0.3">
      <c r="A12" s="95">
        <v>11</v>
      </c>
      <c r="B12" s="14" t="s">
        <v>480</v>
      </c>
      <c r="C12" s="50">
        <v>1310</v>
      </c>
      <c r="D12" s="23" t="s">
        <v>94</v>
      </c>
      <c r="E12" s="99">
        <v>2011</v>
      </c>
      <c r="F12" s="23" t="s">
        <v>38</v>
      </c>
      <c r="G12" s="28" t="s">
        <v>43</v>
      </c>
      <c r="H12" s="8" t="s">
        <v>54</v>
      </c>
      <c r="I12" s="8">
        <v>72</v>
      </c>
      <c r="J12" s="90" t="s">
        <v>39</v>
      </c>
      <c r="K12" s="23" t="s">
        <v>425</v>
      </c>
      <c r="L12" s="33" t="s">
        <v>426</v>
      </c>
      <c r="M12" s="10" t="s">
        <v>68</v>
      </c>
      <c r="N12" s="78" t="s">
        <v>41</v>
      </c>
      <c r="O12" s="90" t="s">
        <v>95</v>
      </c>
      <c r="P12" s="29" t="s">
        <v>427</v>
      </c>
      <c r="Q12" s="32" t="s">
        <v>32</v>
      </c>
      <c r="R12" s="34"/>
    </row>
    <row r="13" spans="1:18" s="49" customFormat="1" ht="17.25" customHeight="1" x14ac:dyDescent="0.3">
      <c r="A13" s="95">
        <v>12</v>
      </c>
      <c r="B13" s="14" t="s">
        <v>480</v>
      </c>
      <c r="C13" s="50">
        <v>1342</v>
      </c>
      <c r="D13" s="8" t="s">
        <v>96</v>
      </c>
      <c r="E13" s="99">
        <v>2011</v>
      </c>
      <c r="F13" s="23" t="s">
        <v>38</v>
      </c>
      <c r="G13" s="28" t="s">
        <v>43</v>
      </c>
      <c r="H13" s="8" t="s">
        <v>61</v>
      </c>
      <c r="I13" s="8">
        <v>200</v>
      </c>
      <c r="J13" s="90" t="s">
        <v>39</v>
      </c>
      <c r="K13" s="23" t="s">
        <v>339</v>
      </c>
      <c r="L13" s="33" t="s">
        <v>168</v>
      </c>
      <c r="M13" s="10" t="s">
        <v>61</v>
      </c>
      <c r="N13" s="78" t="s">
        <v>41</v>
      </c>
      <c r="O13" s="32" t="s">
        <v>51</v>
      </c>
      <c r="P13" s="29" t="s">
        <v>338</v>
      </c>
      <c r="Q13" s="32" t="s">
        <v>60</v>
      </c>
      <c r="R13" s="34"/>
    </row>
    <row r="14" spans="1:18" s="40" customFormat="1" ht="17.25" customHeight="1" x14ac:dyDescent="0.3">
      <c r="A14" s="95">
        <v>13</v>
      </c>
      <c r="B14" s="14" t="s">
        <v>480</v>
      </c>
      <c r="C14" s="50">
        <v>1393</v>
      </c>
      <c r="D14" s="8" t="s">
        <v>100</v>
      </c>
      <c r="E14" s="99">
        <v>2011</v>
      </c>
      <c r="F14" s="23" t="s">
        <v>67</v>
      </c>
      <c r="G14" s="28" t="s">
        <v>43</v>
      </c>
      <c r="H14" s="8" t="s">
        <v>101</v>
      </c>
      <c r="I14" s="8">
        <v>137</v>
      </c>
      <c r="J14" s="90" t="s">
        <v>39</v>
      </c>
      <c r="K14" s="23" t="s">
        <v>341</v>
      </c>
      <c r="L14" s="33" t="s">
        <v>342</v>
      </c>
      <c r="M14" s="10" t="s">
        <v>105</v>
      </c>
      <c r="N14" s="78" t="s">
        <v>41</v>
      </c>
      <c r="O14" s="90" t="s">
        <v>174</v>
      </c>
      <c r="P14" s="29" t="s">
        <v>338</v>
      </c>
      <c r="Q14" s="32" t="s">
        <v>59</v>
      </c>
      <c r="R14" s="34"/>
    </row>
    <row r="15" spans="1:18" ht="17.25" customHeight="1" x14ac:dyDescent="0.3">
      <c r="A15" s="95">
        <v>14</v>
      </c>
      <c r="B15" s="14" t="s">
        <v>455</v>
      </c>
      <c r="C15" s="50">
        <v>1299</v>
      </c>
      <c r="D15" s="23" t="s">
        <v>453</v>
      </c>
      <c r="E15" s="96">
        <v>2011</v>
      </c>
      <c r="F15" s="23" t="s">
        <v>454</v>
      </c>
      <c r="G15" s="29" t="s">
        <v>43</v>
      </c>
      <c r="H15" s="23" t="s">
        <v>61</v>
      </c>
      <c r="I15" s="23">
        <f>46+34</f>
        <v>80</v>
      </c>
      <c r="J15" s="90" t="s">
        <v>39</v>
      </c>
      <c r="K15" s="23" t="s">
        <v>460</v>
      </c>
      <c r="L15" s="33" t="s">
        <v>457</v>
      </c>
      <c r="M15" s="18" t="s">
        <v>61</v>
      </c>
      <c r="N15" s="55" t="s">
        <v>41</v>
      </c>
      <c r="O15" s="31" t="s">
        <v>458</v>
      </c>
      <c r="P15" s="29" t="s">
        <v>459</v>
      </c>
      <c r="Q15" s="31" t="s">
        <v>112</v>
      </c>
      <c r="R15" s="33"/>
    </row>
    <row r="16" spans="1:18" s="19" customFormat="1" ht="17.25" customHeight="1" x14ac:dyDescent="0.3">
      <c r="A16" s="95">
        <v>15</v>
      </c>
      <c r="B16" s="14" t="s">
        <v>480</v>
      </c>
      <c r="C16" s="50">
        <v>1411</v>
      </c>
      <c r="D16" s="8" t="s">
        <v>103</v>
      </c>
      <c r="E16" s="99">
        <v>2011</v>
      </c>
      <c r="F16" s="23" t="s">
        <v>104</v>
      </c>
      <c r="G16" s="28" t="s">
        <v>43</v>
      </c>
      <c r="H16" s="8" t="s">
        <v>54</v>
      </c>
      <c r="I16" s="8">
        <v>170</v>
      </c>
      <c r="J16" s="90" t="s">
        <v>39</v>
      </c>
      <c r="K16" s="23" t="s">
        <v>343</v>
      </c>
      <c r="L16" s="33" t="s">
        <v>329</v>
      </c>
      <c r="M16" s="10" t="s">
        <v>105</v>
      </c>
      <c r="N16" s="78" t="s">
        <v>41</v>
      </c>
      <c r="O16" s="90" t="s">
        <v>316</v>
      </c>
      <c r="P16" s="29" t="s">
        <v>344</v>
      </c>
      <c r="Q16" s="32" t="s">
        <v>112</v>
      </c>
      <c r="R16" s="33"/>
    </row>
    <row r="17" spans="1:18" ht="17.25" customHeight="1" x14ac:dyDescent="0.3">
      <c r="A17" s="95">
        <v>16</v>
      </c>
      <c r="B17" s="14" t="s">
        <v>481</v>
      </c>
      <c r="C17" s="50">
        <v>1995</v>
      </c>
      <c r="D17" s="23" t="s">
        <v>148</v>
      </c>
      <c r="E17" s="14">
        <v>2007</v>
      </c>
      <c r="F17" s="23" t="s">
        <v>139</v>
      </c>
      <c r="G17" s="29" t="s">
        <v>43</v>
      </c>
      <c r="H17" s="23" t="s">
        <v>54</v>
      </c>
      <c r="I17" s="23">
        <v>422</v>
      </c>
      <c r="J17" s="90" t="s">
        <v>39</v>
      </c>
      <c r="K17" s="23" t="s">
        <v>434</v>
      </c>
      <c r="L17" s="33" t="s">
        <v>167</v>
      </c>
      <c r="M17" s="18" t="s">
        <v>436</v>
      </c>
      <c r="N17" s="55" t="s">
        <v>41</v>
      </c>
      <c r="O17" s="90" t="s">
        <v>95</v>
      </c>
      <c r="P17" s="29" t="s">
        <v>435</v>
      </c>
      <c r="Q17" s="31" t="s">
        <v>70</v>
      </c>
      <c r="R17" s="33"/>
    </row>
    <row r="18" spans="1:18" ht="17.25" customHeight="1" x14ac:dyDescent="0.3">
      <c r="A18" s="95">
        <v>17</v>
      </c>
      <c r="B18" s="14" t="s">
        <v>480</v>
      </c>
      <c r="C18" s="50">
        <v>1428</v>
      </c>
      <c r="D18" s="23" t="s">
        <v>196</v>
      </c>
      <c r="E18" s="99">
        <v>2011</v>
      </c>
      <c r="F18" s="23" t="s">
        <v>108</v>
      </c>
      <c r="G18" s="28" t="s">
        <v>43</v>
      </c>
      <c r="H18" s="8" t="s">
        <v>54</v>
      </c>
      <c r="I18" s="8">
        <v>94</v>
      </c>
      <c r="J18" s="90" t="s">
        <v>39</v>
      </c>
      <c r="K18" s="23" t="s">
        <v>428</v>
      </c>
      <c r="L18" s="33" t="s">
        <v>431</v>
      </c>
      <c r="M18" s="10" t="s">
        <v>61</v>
      </c>
      <c r="N18" s="78" t="s">
        <v>41</v>
      </c>
      <c r="O18" s="32" t="s">
        <v>111</v>
      </c>
      <c r="P18" s="29" t="s">
        <v>429</v>
      </c>
      <c r="Q18" s="32" t="s">
        <v>70</v>
      </c>
      <c r="R18" s="33"/>
    </row>
    <row r="19" spans="1:18" ht="17.25" customHeight="1" x14ac:dyDescent="0.3">
      <c r="A19" s="95">
        <v>18</v>
      </c>
      <c r="B19" s="14" t="s">
        <v>481</v>
      </c>
      <c r="C19" s="50">
        <v>2305</v>
      </c>
      <c r="D19" s="23" t="s">
        <v>170</v>
      </c>
      <c r="E19" s="14">
        <v>2005</v>
      </c>
      <c r="F19" s="23" t="s">
        <v>171</v>
      </c>
      <c r="G19" s="29" t="s">
        <v>43</v>
      </c>
      <c r="H19" s="23" t="s">
        <v>54</v>
      </c>
      <c r="I19" s="23">
        <v>154</v>
      </c>
      <c r="J19" s="90" t="s">
        <v>39</v>
      </c>
      <c r="K19" s="23" t="s">
        <v>356</v>
      </c>
      <c r="L19" s="33" t="s">
        <v>109</v>
      </c>
      <c r="M19" s="18" t="s">
        <v>408</v>
      </c>
      <c r="N19" s="55" t="s">
        <v>41</v>
      </c>
      <c r="O19" s="31" t="s">
        <v>317</v>
      </c>
      <c r="P19" s="29" t="s">
        <v>357</v>
      </c>
      <c r="Q19" s="51" t="s">
        <v>32</v>
      </c>
      <c r="R19" s="33"/>
    </row>
    <row r="20" spans="1:18" ht="17.25" customHeight="1" x14ac:dyDescent="0.3">
      <c r="A20" s="95">
        <v>19</v>
      </c>
      <c r="B20" s="14" t="s">
        <v>455</v>
      </c>
      <c r="C20" s="50">
        <v>1889</v>
      </c>
      <c r="D20" s="23" t="s">
        <v>142</v>
      </c>
      <c r="E20" s="14">
        <v>2007</v>
      </c>
      <c r="F20" s="23" t="s">
        <v>143</v>
      </c>
      <c r="G20" s="29" t="s">
        <v>43</v>
      </c>
      <c r="H20" s="23" t="s">
        <v>144</v>
      </c>
      <c r="I20" s="23">
        <v>132</v>
      </c>
      <c r="J20" s="90" t="s">
        <v>39</v>
      </c>
      <c r="K20" s="23" t="s">
        <v>350</v>
      </c>
      <c r="L20" s="33" t="s">
        <v>329</v>
      </c>
      <c r="M20" s="18" t="s">
        <v>321</v>
      </c>
      <c r="N20" s="55" t="s">
        <v>41</v>
      </c>
      <c r="O20" s="31" t="s">
        <v>51</v>
      </c>
      <c r="P20" s="29" t="s">
        <v>351</v>
      </c>
      <c r="Q20" s="31" t="s">
        <v>116</v>
      </c>
      <c r="R20" s="33"/>
    </row>
    <row r="21" spans="1:18" ht="17.25" customHeight="1" x14ac:dyDescent="0.3">
      <c r="A21" s="95">
        <v>20</v>
      </c>
      <c r="B21" s="14" t="s">
        <v>455</v>
      </c>
      <c r="C21" s="50">
        <v>2455</v>
      </c>
      <c r="D21" s="23" t="s">
        <v>176</v>
      </c>
      <c r="E21" s="14">
        <v>2004</v>
      </c>
      <c r="F21" s="23" t="s">
        <v>139</v>
      </c>
      <c r="G21" s="29" t="s">
        <v>43</v>
      </c>
      <c r="H21" s="23" t="s">
        <v>177</v>
      </c>
      <c r="I21" s="23">
        <v>537</v>
      </c>
      <c r="J21" s="90" t="s">
        <v>39</v>
      </c>
      <c r="K21" s="23" t="s">
        <v>358</v>
      </c>
      <c r="L21" s="33" t="s">
        <v>329</v>
      </c>
      <c r="M21" s="18" t="s">
        <v>61</v>
      </c>
      <c r="N21" s="55" t="s">
        <v>41</v>
      </c>
      <c r="O21" s="31" t="s">
        <v>174</v>
      </c>
      <c r="P21" s="29" t="s">
        <v>359</v>
      </c>
      <c r="Q21" s="31" t="s">
        <v>59</v>
      </c>
      <c r="R21" s="33"/>
    </row>
    <row r="22" spans="1:18" ht="17.25" customHeight="1" x14ac:dyDescent="0.3">
      <c r="A22" s="95">
        <v>21</v>
      </c>
      <c r="B22" s="14" t="s">
        <v>480</v>
      </c>
      <c r="C22" s="50">
        <v>1507</v>
      </c>
      <c r="D22" s="23" t="s">
        <v>103</v>
      </c>
      <c r="E22" s="99">
        <v>2010</v>
      </c>
      <c r="F22" s="23" t="s">
        <v>104</v>
      </c>
      <c r="G22" s="28" t="s">
        <v>43</v>
      </c>
      <c r="H22" s="8" t="s">
        <v>113</v>
      </c>
      <c r="I22" s="8">
        <v>117</v>
      </c>
      <c r="J22" s="90" t="s">
        <v>39</v>
      </c>
      <c r="K22" s="23" t="s">
        <v>345</v>
      </c>
      <c r="L22" s="33" t="s">
        <v>213</v>
      </c>
      <c r="M22" s="10" t="s">
        <v>61</v>
      </c>
      <c r="N22" s="78" t="s">
        <v>41</v>
      </c>
      <c r="O22" s="90" t="s">
        <v>95</v>
      </c>
      <c r="P22" s="29" t="s">
        <v>346</v>
      </c>
      <c r="Q22" s="32" t="s">
        <v>116</v>
      </c>
      <c r="R22" s="34"/>
    </row>
    <row r="23" spans="1:18" ht="17.25" customHeight="1" x14ac:dyDescent="0.3">
      <c r="A23" s="95">
        <v>22</v>
      </c>
      <c r="B23" s="14" t="s">
        <v>480</v>
      </c>
      <c r="C23" s="50">
        <v>1516</v>
      </c>
      <c r="D23" s="23" t="s">
        <v>117</v>
      </c>
      <c r="E23" s="99">
        <v>2010</v>
      </c>
      <c r="F23" s="23" t="s">
        <v>108</v>
      </c>
      <c r="G23" s="28" t="s">
        <v>43</v>
      </c>
      <c r="H23" s="8" t="s">
        <v>54</v>
      </c>
      <c r="I23" s="8">
        <v>1386</v>
      </c>
      <c r="J23" s="90" t="s">
        <v>39</v>
      </c>
      <c r="K23" s="23" t="s">
        <v>329</v>
      </c>
      <c r="L23" s="33" t="s">
        <v>118</v>
      </c>
      <c r="M23" s="10" t="s">
        <v>61</v>
      </c>
      <c r="N23" s="78" t="s">
        <v>41</v>
      </c>
      <c r="O23" s="90" t="s">
        <v>121</v>
      </c>
      <c r="P23" s="29" t="s">
        <v>329</v>
      </c>
      <c r="Q23" s="32" t="s">
        <v>70</v>
      </c>
      <c r="R23" s="34"/>
    </row>
    <row r="24" spans="1:18" ht="17.25" customHeight="1" x14ac:dyDescent="0.3">
      <c r="A24" s="95">
        <v>23</v>
      </c>
      <c r="B24" s="14" t="s">
        <v>480</v>
      </c>
      <c r="C24" s="97">
        <v>12124</v>
      </c>
      <c r="D24" s="23" t="s">
        <v>131</v>
      </c>
      <c r="E24" s="98">
        <v>2010</v>
      </c>
      <c r="F24" s="23" t="s">
        <v>38</v>
      </c>
      <c r="G24" s="28" t="s">
        <v>43</v>
      </c>
      <c r="H24" s="8" t="s">
        <v>54</v>
      </c>
      <c r="I24" s="8">
        <v>224</v>
      </c>
      <c r="J24" s="90" t="s">
        <v>39</v>
      </c>
      <c r="K24" s="23" t="s">
        <v>347</v>
      </c>
      <c r="L24" s="33" t="s">
        <v>324</v>
      </c>
      <c r="M24" s="10" t="s">
        <v>61</v>
      </c>
      <c r="N24" s="78" t="s">
        <v>41</v>
      </c>
      <c r="O24" s="32" t="s">
        <v>95</v>
      </c>
      <c r="P24" s="29" t="s">
        <v>348</v>
      </c>
      <c r="Q24" s="32" t="s">
        <v>112</v>
      </c>
      <c r="R24" s="34"/>
    </row>
    <row r="25" spans="1:18" ht="17.25" customHeight="1" x14ac:dyDescent="0.3">
      <c r="A25" s="95">
        <v>24</v>
      </c>
      <c r="B25" s="14" t="s">
        <v>480</v>
      </c>
      <c r="C25" s="97">
        <v>12125</v>
      </c>
      <c r="D25" s="23" t="s">
        <v>133</v>
      </c>
      <c r="E25" s="98">
        <v>2010</v>
      </c>
      <c r="F25" s="23" t="s">
        <v>38</v>
      </c>
      <c r="G25" s="28" t="s">
        <v>43</v>
      </c>
      <c r="H25" s="8" t="s">
        <v>54</v>
      </c>
      <c r="I25" s="8">
        <v>105</v>
      </c>
      <c r="J25" s="90" t="s">
        <v>39</v>
      </c>
      <c r="K25" s="23" t="s">
        <v>340</v>
      </c>
      <c r="L25" s="33" t="s">
        <v>439</v>
      </c>
      <c r="M25" s="10" t="s">
        <v>61</v>
      </c>
      <c r="N25" s="78" t="s">
        <v>41</v>
      </c>
      <c r="O25" s="32" t="s">
        <v>621</v>
      </c>
      <c r="P25" s="29" t="s">
        <v>349</v>
      </c>
      <c r="Q25" s="32" t="s">
        <v>60</v>
      </c>
      <c r="R25" s="34"/>
    </row>
    <row r="26" spans="1:18" ht="17.25" customHeight="1" x14ac:dyDescent="0.3">
      <c r="A26" s="95">
        <v>25</v>
      </c>
      <c r="B26" s="14" t="s">
        <v>480</v>
      </c>
      <c r="C26" s="97">
        <v>12818</v>
      </c>
      <c r="D26" s="23" t="s">
        <v>441</v>
      </c>
      <c r="E26" s="98">
        <v>2009</v>
      </c>
      <c r="F26" s="23" t="s">
        <v>140</v>
      </c>
      <c r="G26" s="28" t="s">
        <v>43</v>
      </c>
      <c r="H26" s="8" t="s">
        <v>141</v>
      </c>
      <c r="I26" s="8">
        <v>42</v>
      </c>
      <c r="J26" s="90" t="s">
        <v>39</v>
      </c>
      <c r="K26" s="23" t="s">
        <v>433</v>
      </c>
      <c r="L26" s="33" t="s">
        <v>430</v>
      </c>
      <c r="M26" s="10" t="s">
        <v>68</v>
      </c>
      <c r="N26" s="78" t="s">
        <v>41</v>
      </c>
      <c r="O26" s="32" t="s">
        <v>51</v>
      </c>
      <c r="P26" s="29" t="s">
        <v>432</v>
      </c>
      <c r="Q26" s="32" t="s">
        <v>116</v>
      </c>
      <c r="R26" s="34"/>
    </row>
    <row r="27" spans="1:18" ht="17.25" customHeight="1" x14ac:dyDescent="0.3">
      <c r="A27" s="95">
        <v>26</v>
      </c>
      <c r="B27" s="14" t="s">
        <v>455</v>
      </c>
      <c r="C27" s="97">
        <v>2609</v>
      </c>
      <c r="D27" s="23" t="s">
        <v>182</v>
      </c>
      <c r="E27" s="96">
        <v>2003</v>
      </c>
      <c r="F27" s="23" t="s">
        <v>139</v>
      </c>
      <c r="G27" s="29" t="s">
        <v>43</v>
      </c>
      <c r="H27" s="23" t="s">
        <v>105</v>
      </c>
      <c r="I27" s="23">
        <v>764</v>
      </c>
      <c r="J27" s="90" t="s">
        <v>39</v>
      </c>
      <c r="K27" s="23" t="s">
        <v>361</v>
      </c>
      <c r="L27" s="33" t="s">
        <v>360</v>
      </c>
      <c r="M27" s="18" t="s">
        <v>183</v>
      </c>
      <c r="N27" s="55" t="s">
        <v>41</v>
      </c>
      <c r="O27" s="31" t="s">
        <v>51</v>
      </c>
      <c r="P27" s="29" t="s">
        <v>362</v>
      </c>
      <c r="Q27" s="31" t="s">
        <v>185</v>
      </c>
      <c r="R27" s="33"/>
    </row>
    <row r="28" spans="1:18" ht="17.25" customHeight="1" x14ac:dyDescent="0.3">
      <c r="A28" s="95">
        <v>27</v>
      </c>
      <c r="B28" s="14" t="s">
        <v>455</v>
      </c>
      <c r="C28" s="97">
        <v>2932</v>
      </c>
      <c r="D28" s="23" t="s">
        <v>182</v>
      </c>
      <c r="E28" s="96">
        <v>2001</v>
      </c>
      <c r="F28" s="23" t="s">
        <v>139</v>
      </c>
      <c r="G28" s="29" t="s">
        <v>43</v>
      </c>
      <c r="H28" s="23" t="s">
        <v>61</v>
      </c>
      <c r="I28" s="23">
        <v>817</v>
      </c>
      <c r="J28" s="90" t="s">
        <v>39</v>
      </c>
      <c r="K28" s="23" t="s">
        <v>323</v>
      </c>
      <c r="L28" s="33" t="s">
        <v>320</v>
      </c>
      <c r="M28" s="18" t="s">
        <v>321</v>
      </c>
      <c r="N28" s="55" t="s">
        <v>41</v>
      </c>
      <c r="O28" s="31" t="s">
        <v>51</v>
      </c>
      <c r="P28" s="29" t="s">
        <v>328</v>
      </c>
      <c r="Q28" s="31" t="s">
        <v>185</v>
      </c>
      <c r="R28" s="33"/>
    </row>
    <row r="29" spans="1:18" ht="17.25" customHeight="1" x14ac:dyDescent="0.3">
      <c r="A29" s="95">
        <v>28</v>
      </c>
      <c r="B29" s="14" t="s">
        <v>543</v>
      </c>
      <c r="C29" s="50" t="s">
        <v>525</v>
      </c>
      <c r="D29" s="23" t="s">
        <v>526</v>
      </c>
      <c r="E29" s="14">
        <v>2009</v>
      </c>
      <c r="F29" s="23" t="s">
        <v>527</v>
      </c>
      <c r="G29" s="29" t="s">
        <v>43</v>
      </c>
      <c r="H29" s="23" t="s">
        <v>61</v>
      </c>
      <c r="I29" s="6">
        <v>73</v>
      </c>
      <c r="J29" s="90" t="s">
        <v>39</v>
      </c>
      <c r="K29" s="23" t="s">
        <v>55</v>
      </c>
      <c r="L29" s="33" t="s">
        <v>620</v>
      </c>
      <c r="M29" s="18" t="s">
        <v>61</v>
      </c>
      <c r="N29" s="55" t="s">
        <v>41</v>
      </c>
      <c r="O29" s="31" t="s">
        <v>174</v>
      </c>
      <c r="P29" s="29" t="s">
        <v>619</v>
      </c>
      <c r="Q29" s="31" t="s">
        <v>185</v>
      </c>
      <c r="R29" s="33"/>
    </row>
    <row r="30" spans="1:18" ht="17.25" customHeight="1" x14ac:dyDescent="0.3">
      <c r="A30" s="95">
        <v>29</v>
      </c>
      <c r="B30" s="14" t="s">
        <v>455</v>
      </c>
      <c r="C30" s="97">
        <v>2936</v>
      </c>
      <c r="D30" s="23" t="s">
        <v>209</v>
      </c>
      <c r="E30" s="96">
        <v>2001</v>
      </c>
      <c r="F30" s="23" t="s">
        <v>139</v>
      </c>
      <c r="G30" s="29" t="s">
        <v>43</v>
      </c>
      <c r="H30" s="23" t="s">
        <v>210</v>
      </c>
      <c r="I30" s="23">
        <v>1285</v>
      </c>
      <c r="J30" s="90" t="s">
        <v>39</v>
      </c>
      <c r="K30" s="23" t="s">
        <v>368</v>
      </c>
      <c r="L30" s="33" t="s">
        <v>211</v>
      </c>
      <c r="M30" s="18" t="s">
        <v>322</v>
      </c>
      <c r="N30" s="55" t="s">
        <v>41</v>
      </c>
      <c r="O30" s="31" t="s">
        <v>51</v>
      </c>
      <c r="P30" s="29" t="s">
        <v>329</v>
      </c>
      <c r="Q30" s="31" t="s">
        <v>369</v>
      </c>
      <c r="R30" s="33"/>
    </row>
    <row r="31" spans="1:18" ht="17.25" customHeight="1" x14ac:dyDescent="0.3">
      <c r="A31" s="95">
        <v>30</v>
      </c>
      <c r="B31" s="14" t="s">
        <v>455</v>
      </c>
      <c r="C31" s="50">
        <v>3059</v>
      </c>
      <c r="D31" s="23" t="s">
        <v>482</v>
      </c>
      <c r="E31" s="96">
        <v>2000</v>
      </c>
      <c r="F31" s="23" t="s">
        <v>483</v>
      </c>
      <c r="G31" s="29" t="s">
        <v>43</v>
      </c>
      <c r="H31" s="23" t="s">
        <v>61</v>
      </c>
      <c r="I31" s="23">
        <f>41+25</f>
        <v>66</v>
      </c>
      <c r="J31" s="90" t="s">
        <v>39</v>
      </c>
      <c r="K31" s="23" t="s">
        <v>456</v>
      </c>
      <c r="L31" s="33" t="s">
        <v>488</v>
      </c>
      <c r="M31" s="18" t="s">
        <v>61</v>
      </c>
      <c r="N31" s="55" t="s">
        <v>41</v>
      </c>
      <c r="O31" s="31" t="s">
        <v>174</v>
      </c>
      <c r="P31" s="29" t="s">
        <v>487</v>
      </c>
      <c r="Q31" s="31" t="s">
        <v>32</v>
      </c>
      <c r="R31" s="33"/>
    </row>
    <row r="32" spans="1:18" ht="17.25" customHeight="1" x14ac:dyDescent="0.3">
      <c r="A32" s="95">
        <v>31</v>
      </c>
      <c r="B32" s="14" t="s">
        <v>480</v>
      </c>
      <c r="C32" s="50">
        <v>1945</v>
      </c>
      <c r="D32" s="23" t="s">
        <v>152</v>
      </c>
      <c r="E32" s="99">
        <v>2007</v>
      </c>
      <c r="F32" s="23" t="s">
        <v>143</v>
      </c>
      <c r="G32" s="28" t="s">
        <v>43</v>
      </c>
      <c r="H32" s="8" t="s">
        <v>54</v>
      </c>
      <c r="I32" s="8">
        <v>516</v>
      </c>
      <c r="J32" s="90" t="s">
        <v>39</v>
      </c>
      <c r="K32" s="23" t="s">
        <v>352</v>
      </c>
      <c r="L32" s="33" t="s">
        <v>329</v>
      </c>
      <c r="M32" s="10" t="s">
        <v>61</v>
      </c>
      <c r="N32" s="78" t="s">
        <v>41</v>
      </c>
      <c r="O32" s="32" t="s">
        <v>51</v>
      </c>
      <c r="P32" s="29" t="s">
        <v>353</v>
      </c>
      <c r="Q32" s="32" t="s">
        <v>60</v>
      </c>
      <c r="R32" s="34"/>
    </row>
    <row r="33" spans="1:18" ht="17.25" customHeight="1" x14ac:dyDescent="0.3">
      <c r="A33" s="95">
        <v>32</v>
      </c>
      <c r="B33" s="14" t="s">
        <v>455</v>
      </c>
      <c r="C33" s="50">
        <v>3077</v>
      </c>
      <c r="D33" s="23" t="s">
        <v>235</v>
      </c>
      <c r="E33" s="14">
        <v>2000</v>
      </c>
      <c r="F33" s="23" t="s">
        <v>139</v>
      </c>
      <c r="G33" s="29" t="s">
        <v>43</v>
      </c>
      <c r="H33" s="23" t="s">
        <v>233</v>
      </c>
      <c r="I33" s="23">
        <v>505</v>
      </c>
      <c r="J33" s="90" t="s">
        <v>39</v>
      </c>
      <c r="K33" s="92" t="s">
        <v>327</v>
      </c>
      <c r="L33" s="33" t="s">
        <v>326</v>
      </c>
      <c r="M33" s="18" t="s">
        <v>321</v>
      </c>
      <c r="N33" s="55" t="s">
        <v>41</v>
      </c>
      <c r="O33" s="31" t="s">
        <v>319</v>
      </c>
      <c r="P33" s="29" t="s">
        <v>330</v>
      </c>
      <c r="Q33" s="31" t="s">
        <v>234</v>
      </c>
      <c r="R33" s="33"/>
    </row>
    <row r="34" spans="1:18" ht="17.25" customHeight="1" x14ac:dyDescent="0.3">
      <c r="A34" s="95">
        <v>33</v>
      </c>
      <c r="B34" s="14" t="s">
        <v>481</v>
      </c>
      <c r="C34" s="97">
        <v>3121</v>
      </c>
      <c r="D34" s="23" t="s">
        <v>243</v>
      </c>
      <c r="E34" s="96">
        <v>2000</v>
      </c>
      <c r="F34" s="23" t="s">
        <v>139</v>
      </c>
      <c r="G34" s="29" t="s">
        <v>43</v>
      </c>
      <c r="H34" s="23" t="s">
        <v>61</v>
      </c>
      <c r="I34" s="23">
        <f>30+107+110</f>
        <v>247</v>
      </c>
      <c r="J34" s="90" t="s">
        <v>39</v>
      </c>
      <c r="K34" s="23" t="s">
        <v>378</v>
      </c>
      <c r="L34" s="33" t="s">
        <v>244</v>
      </c>
      <c r="M34" s="18" t="s">
        <v>447</v>
      </c>
      <c r="N34" s="55" t="s">
        <v>41</v>
      </c>
      <c r="O34" s="31" t="s">
        <v>174</v>
      </c>
      <c r="P34" s="29" t="s">
        <v>379</v>
      </c>
      <c r="Q34" s="31" t="s">
        <v>59</v>
      </c>
      <c r="R34" s="33"/>
    </row>
    <row r="35" spans="1:18" ht="17.25" customHeight="1" x14ac:dyDescent="0.3">
      <c r="A35" s="95">
        <v>34</v>
      </c>
      <c r="B35" s="14" t="s">
        <v>480</v>
      </c>
      <c r="C35" s="97">
        <v>13354</v>
      </c>
      <c r="D35" s="23" t="s">
        <v>438</v>
      </c>
      <c r="E35" s="98">
        <v>2007</v>
      </c>
      <c r="F35" s="23" t="s">
        <v>74</v>
      </c>
      <c r="G35" s="101" t="s">
        <v>44</v>
      </c>
      <c r="H35" s="8" t="s">
        <v>54</v>
      </c>
      <c r="I35" s="8">
        <v>85</v>
      </c>
      <c r="J35" s="90" t="s">
        <v>39</v>
      </c>
      <c r="K35" s="23" t="s">
        <v>354</v>
      </c>
      <c r="L35" s="33" t="s">
        <v>159</v>
      </c>
      <c r="M35" s="10" t="s">
        <v>61</v>
      </c>
      <c r="N35" s="78" t="s">
        <v>41</v>
      </c>
      <c r="O35" s="90" t="s">
        <v>51</v>
      </c>
      <c r="P35" s="29" t="s">
        <v>355</v>
      </c>
      <c r="Q35" s="32" t="s">
        <v>116</v>
      </c>
      <c r="R35" s="34"/>
    </row>
    <row r="36" spans="1:18" ht="17.25" customHeight="1" x14ac:dyDescent="0.3">
      <c r="A36" s="95">
        <v>35</v>
      </c>
      <c r="B36" s="14" t="s">
        <v>466</v>
      </c>
      <c r="C36" s="50">
        <v>2091</v>
      </c>
      <c r="D36" s="23" t="s">
        <v>462</v>
      </c>
      <c r="E36" s="96">
        <v>2006</v>
      </c>
      <c r="F36" s="23" t="s">
        <v>463</v>
      </c>
      <c r="G36" s="29" t="s">
        <v>43</v>
      </c>
      <c r="H36" s="23" t="s">
        <v>61</v>
      </c>
      <c r="I36" s="23">
        <f>53+24</f>
        <v>77</v>
      </c>
      <c r="J36" s="90" t="s">
        <v>39</v>
      </c>
      <c r="K36" s="23" t="s">
        <v>464</v>
      </c>
      <c r="L36" s="33" t="s">
        <v>465</v>
      </c>
      <c r="M36" s="18" t="s">
        <v>61</v>
      </c>
      <c r="N36" s="55" t="s">
        <v>41</v>
      </c>
      <c r="O36" s="31" t="s">
        <v>121</v>
      </c>
      <c r="P36" s="29" t="s">
        <v>346</v>
      </c>
      <c r="Q36" s="31" t="s">
        <v>59</v>
      </c>
      <c r="R36" s="33"/>
    </row>
    <row r="37" spans="1:18" ht="17.25" customHeight="1" x14ac:dyDescent="0.3">
      <c r="A37" s="95">
        <v>36</v>
      </c>
      <c r="B37" s="14" t="s">
        <v>480</v>
      </c>
      <c r="C37" s="97">
        <v>2615</v>
      </c>
      <c r="D37" s="23" t="s">
        <v>186</v>
      </c>
      <c r="E37" s="96">
        <v>2003</v>
      </c>
      <c r="F37" s="23" t="s">
        <v>99</v>
      </c>
      <c r="G37" s="28" t="s">
        <v>43</v>
      </c>
      <c r="H37" s="8" t="s">
        <v>173</v>
      </c>
      <c r="I37" s="8">
        <v>371</v>
      </c>
      <c r="J37" s="90" t="s">
        <v>39</v>
      </c>
      <c r="K37" s="23" t="s">
        <v>329</v>
      </c>
      <c r="L37" s="33" t="s">
        <v>187</v>
      </c>
      <c r="M37" s="10" t="s">
        <v>321</v>
      </c>
      <c r="N37" s="78" t="s">
        <v>41</v>
      </c>
      <c r="O37" s="32" t="s">
        <v>121</v>
      </c>
      <c r="P37" s="29" t="s">
        <v>329</v>
      </c>
      <c r="Q37" s="32" t="s">
        <v>188</v>
      </c>
      <c r="R37" s="34"/>
    </row>
    <row r="38" spans="1:18" ht="17.25" customHeight="1" x14ac:dyDescent="0.3">
      <c r="A38" s="95">
        <v>37</v>
      </c>
      <c r="B38" s="14" t="s">
        <v>480</v>
      </c>
      <c r="C38" s="97">
        <v>2667</v>
      </c>
      <c r="D38" s="23" t="s">
        <v>192</v>
      </c>
      <c r="E38" s="98">
        <v>2003</v>
      </c>
      <c r="F38" s="23" t="s">
        <v>99</v>
      </c>
      <c r="G38" s="28" t="s">
        <v>43</v>
      </c>
      <c r="H38" s="8" t="s">
        <v>54</v>
      </c>
      <c r="I38" s="8">
        <v>133</v>
      </c>
      <c r="J38" s="90" t="s">
        <v>39</v>
      </c>
      <c r="K38" s="23" t="s">
        <v>363</v>
      </c>
      <c r="L38" s="33" t="s">
        <v>329</v>
      </c>
      <c r="M38" s="10" t="s">
        <v>105</v>
      </c>
      <c r="N38" s="78" t="s">
        <v>41</v>
      </c>
      <c r="O38" s="32" t="s">
        <v>121</v>
      </c>
      <c r="P38" s="29" t="s">
        <v>364</v>
      </c>
      <c r="Q38" s="32" t="s">
        <v>60</v>
      </c>
      <c r="R38" s="34"/>
    </row>
    <row r="39" spans="1:18" ht="17.25" customHeight="1" x14ac:dyDescent="0.3">
      <c r="A39" s="95">
        <v>38</v>
      </c>
      <c r="B39" s="14" t="s">
        <v>466</v>
      </c>
      <c r="C39" s="50">
        <v>2722</v>
      </c>
      <c r="D39" s="23" t="s">
        <v>468</v>
      </c>
      <c r="E39" s="96">
        <v>2002</v>
      </c>
      <c r="F39" s="23" t="s">
        <v>469</v>
      </c>
      <c r="G39" s="29" t="s">
        <v>43</v>
      </c>
      <c r="H39" s="23" t="s">
        <v>274</v>
      </c>
      <c r="I39" s="23">
        <v>37</v>
      </c>
      <c r="J39" s="90" t="s">
        <v>39</v>
      </c>
      <c r="K39" s="23" t="s">
        <v>470</v>
      </c>
      <c r="L39" s="33" t="s">
        <v>474</v>
      </c>
      <c r="M39" s="18" t="s">
        <v>61</v>
      </c>
      <c r="N39" s="55" t="s">
        <v>41</v>
      </c>
      <c r="O39" s="31" t="s">
        <v>174</v>
      </c>
      <c r="P39" s="29" t="s">
        <v>471</v>
      </c>
      <c r="Q39" s="31" t="s">
        <v>32</v>
      </c>
      <c r="R39" s="33"/>
    </row>
    <row r="40" spans="1:18" ht="17.25" customHeight="1" x14ac:dyDescent="0.3">
      <c r="A40" s="95">
        <v>39</v>
      </c>
      <c r="B40" s="14" t="s">
        <v>480</v>
      </c>
      <c r="C40" s="97">
        <v>2760</v>
      </c>
      <c r="D40" s="23" t="s">
        <v>202</v>
      </c>
      <c r="E40" s="98">
        <v>2002</v>
      </c>
      <c r="F40" s="23" t="s">
        <v>67</v>
      </c>
      <c r="G40" s="101" t="s">
        <v>44</v>
      </c>
      <c r="H40" s="8" t="s">
        <v>201</v>
      </c>
      <c r="I40" s="8">
        <f>167+14</f>
        <v>181</v>
      </c>
      <c r="J40" s="90" t="s">
        <v>39</v>
      </c>
      <c r="K40" s="23" t="s">
        <v>365</v>
      </c>
      <c r="L40" s="33" t="s">
        <v>367</v>
      </c>
      <c r="M40" s="10" t="s">
        <v>322</v>
      </c>
      <c r="N40" s="78" t="s">
        <v>41</v>
      </c>
      <c r="O40" s="32" t="s">
        <v>121</v>
      </c>
      <c r="P40" s="29" t="s">
        <v>366</v>
      </c>
      <c r="Q40" s="32" t="s">
        <v>70</v>
      </c>
      <c r="R40" s="34"/>
    </row>
    <row r="41" spans="1:18" ht="17.25" customHeight="1" x14ac:dyDescent="0.3">
      <c r="A41" s="95">
        <v>40</v>
      </c>
      <c r="B41" s="14" t="s">
        <v>466</v>
      </c>
      <c r="C41" s="50">
        <v>2847</v>
      </c>
      <c r="D41" s="23" t="s">
        <v>476</v>
      </c>
      <c r="E41" s="96">
        <v>2002</v>
      </c>
      <c r="F41" s="23" t="s">
        <v>475</v>
      </c>
      <c r="G41" s="29" t="s">
        <v>43</v>
      </c>
      <c r="H41" s="23" t="s">
        <v>61</v>
      </c>
      <c r="I41" s="23">
        <v>90</v>
      </c>
      <c r="J41" s="90" t="s">
        <v>39</v>
      </c>
      <c r="K41" s="23" t="s">
        <v>456</v>
      </c>
      <c r="L41" s="33" t="s">
        <v>478</v>
      </c>
      <c r="M41" s="18" t="s">
        <v>61</v>
      </c>
      <c r="N41" s="55" t="s">
        <v>41</v>
      </c>
      <c r="O41" s="31" t="s">
        <v>477</v>
      </c>
      <c r="P41" s="29" t="s">
        <v>379</v>
      </c>
      <c r="Q41" s="31" t="s">
        <v>32</v>
      </c>
      <c r="R41" s="33"/>
    </row>
    <row r="42" spans="1:18" ht="17.25" customHeight="1" x14ac:dyDescent="0.3">
      <c r="A42" s="95">
        <v>41</v>
      </c>
      <c r="B42" s="14" t="s">
        <v>466</v>
      </c>
      <c r="C42" s="50">
        <v>15036</v>
      </c>
      <c r="D42" s="23" t="s">
        <v>501</v>
      </c>
      <c r="E42" s="14">
        <v>2001</v>
      </c>
      <c r="F42" s="23" t="s">
        <v>139</v>
      </c>
      <c r="G42" s="29" t="s">
        <v>43</v>
      </c>
      <c r="H42" s="23" t="s">
        <v>61</v>
      </c>
      <c r="I42" s="23">
        <v>955</v>
      </c>
      <c r="J42" s="90" t="s">
        <v>39</v>
      </c>
      <c r="K42" s="23" t="s">
        <v>456</v>
      </c>
      <c r="L42" s="33" t="s">
        <v>502</v>
      </c>
      <c r="M42" s="18" t="s">
        <v>61</v>
      </c>
      <c r="N42" s="55" t="s">
        <v>41</v>
      </c>
      <c r="O42" s="31" t="s">
        <v>477</v>
      </c>
      <c r="P42" s="29" t="s">
        <v>379</v>
      </c>
      <c r="Q42" s="31" t="s">
        <v>32</v>
      </c>
      <c r="R42" s="33"/>
    </row>
    <row r="43" spans="1:18" ht="17.25" customHeight="1" x14ac:dyDescent="0.3">
      <c r="A43" s="95">
        <v>42</v>
      </c>
      <c r="B43" s="14" t="s">
        <v>481</v>
      </c>
      <c r="C43" s="50">
        <v>3443</v>
      </c>
      <c r="D43" s="23" t="s">
        <v>280</v>
      </c>
      <c r="E43" s="14">
        <v>1998</v>
      </c>
      <c r="F43" s="23" t="s">
        <v>147</v>
      </c>
      <c r="G43" s="29" t="s">
        <v>43</v>
      </c>
      <c r="H43" s="23" t="s">
        <v>274</v>
      </c>
      <c r="I43" s="23">
        <v>105</v>
      </c>
      <c r="J43" s="90" t="s">
        <v>39</v>
      </c>
      <c r="K43" s="23" t="s">
        <v>407</v>
      </c>
      <c r="L43" s="33" t="s">
        <v>281</v>
      </c>
      <c r="M43" s="18" t="s">
        <v>448</v>
      </c>
      <c r="N43" s="55" t="s">
        <v>41</v>
      </c>
      <c r="O43" s="31" t="s">
        <v>121</v>
      </c>
      <c r="P43" s="29" t="s">
        <v>406</v>
      </c>
      <c r="Q43" s="31" t="s">
        <v>59</v>
      </c>
      <c r="R43" s="33"/>
    </row>
    <row r="44" spans="1:18" ht="17.25" customHeight="1" x14ac:dyDescent="0.3">
      <c r="A44" s="95">
        <v>43</v>
      </c>
      <c r="B44" s="14" t="s">
        <v>480</v>
      </c>
      <c r="C44" s="97">
        <v>3058</v>
      </c>
      <c r="D44" s="23" t="s">
        <v>212</v>
      </c>
      <c r="E44" s="96">
        <v>2000</v>
      </c>
      <c r="F44" s="23" t="s">
        <v>129</v>
      </c>
      <c r="G44" s="29" t="s">
        <v>43</v>
      </c>
      <c r="H44" s="8" t="s">
        <v>198</v>
      </c>
      <c r="I44" s="8">
        <v>130</v>
      </c>
      <c r="J44" s="90" t="s">
        <v>39</v>
      </c>
      <c r="K44" s="23" t="s">
        <v>377</v>
      </c>
      <c r="L44" s="33" t="s">
        <v>167</v>
      </c>
      <c r="M44" s="10" t="s">
        <v>321</v>
      </c>
      <c r="N44" s="78" t="s">
        <v>41</v>
      </c>
      <c r="O44" s="32" t="s">
        <v>174</v>
      </c>
      <c r="P44" s="29" t="s">
        <v>383</v>
      </c>
      <c r="Q44" s="32" t="s">
        <v>83</v>
      </c>
      <c r="R44" s="34"/>
    </row>
    <row r="45" spans="1:18" ht="17.25" customHeight="1" x14ac:dyDescent="0.3">
      <c r="A45" s="95">
        <v>44</v>
      </c>
      <c r="B45" s="14" t="s">
        <v>480</v>
      </c>
      <c r="C45" s="97">
        <v>3079</v>
      </c>
      <c r="D45" s="23" t="s">
        <v>215</v>
      </c>
      <c r="E45" s="96">
        <v>2000</v>
      </c>
      <c r="F45" s="23" t="s">
        <v>108</v>
      </c>
      <c r="G45" s="29" t="s">
        <v>43</v>
      </c>
      <c r="H45" s="8" t="s">
        <v>102</v>
      </c>
      <c r="I45" s="8">
        <v>253</v>
      </c>
      <c r="J45" s="90" t="s">
        <v>39</v>
      </c>
      <c r="K45" s="23" t="s">
        <v>370</v>
      </c>
      <c r="L45" s="33" t="s">
        <v>216</v>
      </c>
      <c r="M45" s="10" t="s">
        <v>321</v>
      </c>
      <c r="N45" s="78" t="s">
        <v>41</v>
      </c>
      <c r="O45" s="32" t="s">
        <v>121</v>
      </c>
      <c r="P45" s="29" t="s">
        <v>371</v>
      </c>
      <c r="Q45" s="32" t="s">
        <v>59</v>
      </c>
      <c r="R45" s="34"/>
    </row>
    <row r="46" spans="1:18" ht="17.25" customHeight="1" x14ac:dyDescent="0.3">
      <c r="A46" s="95">
        <v>45</v>
      </c>
      <c r="B46" s="14" t="s">
        <v>480</v>
      </c>
      <c r="C46" s="97">
        <v>3142</v>
      </c>
      <c r="D46" s="23" t="s">
        <v>219</v>
      </c>
      <c r="E46" s="96">
        <v>2000</v>
      </c>
      <c r="F46" s="23" t="s">
        <v>139</v>
      </c>
      <c r="G46" s="29" t="s">
        <v>43</v>
      </c>
      <c r="H46" s="8" t="s">
        <v>105</v>
      </c>
      <c r="I46" s="8">
        <v>396</v>
      </c>
      <c r="J46" s="90" t="s">
        <v>39</v>
      </c>
      <c r="K46" s="23" t="s">
        <v>373</v>
      </c>
      <c r="L46" s="33" t="s">
        <v>55</v>
      </c>
      <c r="M46" s="10" t="s">
        <v>322</v>
      </c>
      <c r="N46" s="78" t="s">
        <v>41</v>
      </c>
      <c r="O46" s="32" t="s">
        <v>95</v>
      </c>
      <c r="P46" s="29" t="s">
        <v>372</v>
      </c>
      <c r="Q46" s="32" t="s">
        <v>32</v>
      </c>
      <c r="R46" s="34"/>
    </row>
    <row r="47" spans="1:18" ht="17.25" customHeight="1" x14ac:dyDescent="0.3">
      <c r="A47" s="95">
        <v>46</v>
      </c>
      <c r="B47" s="14" t="s">
        <v>481</v>
      </c>
      <c r="C47" s="97">
        <v>3648</v>
      </c>
      <c r="D47" s="23" t="s">
        <v>186</v>
      </c>
      <c r="E47" s="96">
        <v>1996</v>
      </c>
      <c r="F47" s="23" t="s">
        <v>99</v>
      </c>
      <c r="G47" s="29" t="s">
        <v>43</v>
      </c>
      <c r="H47" s="23" t="s">
        <v>304</v>
      </c>
      <c r="I47" s="23">
        <v>35</v>
      </c>
      <c r="J47" s="90" t="s">
        <v>39</v>
      </c>
      <c r="K47" s="23" t="s">
        <v>445</v>
      </c>
      <c r="L47" s="33" t="s">
        <v>55</v>
      </c>
      <c r="M47" s="18" t="s">
        <v>408</v>
      </c>
      <c r="N47" s="55" t="s">
        <v>41</v>
      </c>
      <c r="O47" s="31" t="s">
        <v>121</v>
      </c>
      <c r="P47" s="29" t="s">
        <v>346</v>
      </c>
      <c r="Q47" s="31" t="s">
        <v>59</v>
      </c>
      <c r="R47" s="33"/>
    </row>
    <row r="48" spans="1:18" ht="17.25" customHeight="1" x14ac:dyDescent="0.3">
      <c r="A48" s="95">
        <v>47</v>
      </c>
      <c r="B48" s="14" t="s">
        <v>480</v>
      </c>
      <c r="C48" s="97">
        <v>3153</v>
      </c>
      <c r="D48" s="23" t="s">
        <v>232</v>
      </c>
      <c r="E48" s="96">
        <v>2000</v>
      </c>
      <c r="F48" s="23" t="s">
        <v>158</v>
      </c>
      <c r="G48" s="29" t="s">
        <v>43</v>
      </c>
      <c r="H48" s="8" t="s">
        <v>233</v>
      </c>
      <c r="I48" s="8">
        <v>56</v>
      </c>
      <c r="J48" s="90" t="s">
        <v>39</v>
      </c>
      <c r="K48" s="23" t="s">
        <v>329</v>
      </c>
      <c r="L48" s="33" t="s">
        <v>168</v>
      </c>
      <c r="M48" s="10" t="s">
        <v>321</v>
      </c>
      <c r="N48" s="78" t="s">
        <v>41</v>
      </c>
      <c r="O48" s="32" t="s">
        <v>121</v>
      </c>
      <c r="P48" s="29" t="s">
        <v>329</v>
      </c>
      <c r="Q48" s="32" t="s">
        <v>234</v>
      </c>
      <c r="R48" s="34"/>
    </row>
    <row r="49" spans="1:18" ht="17.25" customHeight="1" x14ac:dyDescent="0.3">
      <c r="A49" s="95">
        <v>48</v>
      </c>
      <c r="B49" s="14" t="s">
        <v>480</v>
      </c>
      <c r="C49" s="97">
        <v>3202</v>
      </c>
      <c r="D49" s="23" t="s">
        <v>248</v>
      </c>
      <c r="E49" s="96">
        <v>2000</v>
      </c>
      <c r="F49" s="23" t="s">
        <v>139</v>
      </c>
      <c r="G49" s="29" t="s">
        <v>43</v>
      </c>
      <c r="H49" s="8" t="s">
        <v>61</v>
      </c>
      <c r="I49" s="8">
        <f>83+72</f>
        <v>155</v>
      </c>
      <c r="J49" s="90" t="s">
        <v>39</v>
      </c>
      <c r="K49" s="23" t="s">
        <v>380</v>
      </c>
      <c r="L49" s="33" t="s">
        <v>292</v>
      </c>
      <c r="M49" s="10" t="s">
        <v>61</v>
      </c>
      <c r="N49" s="78" t="s">
        <v>41</v>
      </c>
      <c r="O49" s="32" t="s">
        <v>95</v>
      </c>
      <c r="P49" s="29" t="s">
        <v>381</v>
      </c>
      <c r="Q49" s="32" t="s">
        <v>32</v>
      </c>
      <c r="R49" s="34"/>
    </row>
    <row r="50" spans="1:18" ht="18" customHeight="1" x14ac:dyDescent="0.3">
      <c r="A50" s="95">
        <v>49</v>
      </c>
      <c r="B50" s="14" t="s">
        <v>480</v>
      </c>
      <c r="C50" s="97">
        <v>3230</v>
      </c>
      <c r="D50" s="23" t="s">
        <v>267</v>
      </c>
      <c r="E50" s="96">
        <v>1999</v>
      </c>
      <c r="F50" s="23" t="s">
        <v>63</v>
      </c>
      <c r="G50" s="29" t="s">
        <v>43</v>
      </c>
      <c r="H50" s="8" t="s">
        <v>61</v>
      </c>
      <c r="I50" s="8">
        <v>214</v>
      </c>
      <c r="J50" s="90" t="s">
        <v>39</v>
      </c>
      <c r="K50" s="23" t="s">
        <v>385</v>
      </c>
      <c r="L50" s="33" t="s">
        <v>386</v>
      </c>
      <c r="M50" s="10" t="s">
        <v>387</v>
      </c>
      <c r="N50" s="78" t="s">
        <v>41</v>
      </c>
      <c r="O50" s="32" t="s">
        <v>382</v>
      </c>
      <c r="P50" s="29" t="s">
        <v>384</v>
      </c>
      <c r="Q50" s="32" t="s">
        <v>32</v>
      </c>
      <c r="R50" s="34"/>
    </row>
    <row r="51" spans="1:18" ht="18" customHeight="1" x14ac:dyDescent="0.3">
      <c r="A51" s="95">
        <v>50</v>
      </c>
      <c r="B51" s="14" t="s">
        <v>480</v>
      </c>
      <c r="C51" s="97">
        <v>3233</v>
      </c>
      <c r="D51" s="23" t="s">
        <v>270</v>
      </c>
      <c r="E51" s="96">
        <v>1999</v>
      </c>
      <c r="F51" s="23" t="s">
        <v>139</v>
      </c>
      <c r="G51" s="29" t="s">
        <v>43</v>
      </c>
      <c r="H51" s="8" t="s">
        <v>105</v>
      </c>
      <c r="I51" s="8">
        <v>75</v>
      </c>
      <c r="J51" s="90" t="s">
        <v>39</v>
      </c>
      <c r="K51" s="23" t="s">
        <v>391</v>
      </c>
      <c r="L51" s="33" t="s">
        <v>388</v>
      </c>
      <c r="M51" s="10" t="s">
        <v>61</v>
      </c>
      <c r="N51" s="78" t="s">
        <v>41</v>
      </c>
      <c r="O51" s="32" t="s">
        <v>271</v>
      </c>
      <c r="P51" s="29" t="s">
        <v>390</v>
      </c>
      <c r="Q51" s="32" t="s">
        <v>59</v>
      </c>
      <c r="R51" s="34"/>
    </row>
    <row r="52" spans="1:18" ht="18" customHeight="1" x14ac:dyDescent="0.3">
      <c r="A52" s="95">
        <v>51</v>
      </c>
      <c r="B52" s="14" t="s">
        <v>481</v>
      </c>
      <c r="C52" s="50">
        <v>3798</v>
      </c>
      <c r="D52" s="23" t="s">
        <v>493</v>
      </c>
      <c r="E52" s="96">
        <v>1995</v>
      </c>
      <c r="F52" s="23" t="s">
        <v>494</v>
      </c>
      <c r="G52" s="29" t="s">
        <v>43</v>
      </c>
      <c r="H52" s="23" t="s">
        <v>61</v>
      </c>
      <c r="I52" s="23">
        <v>97</v>
      </c>
      <c r="J52" s="90" t="s">
        <v>39</v>
      </c>
      <c r="K52" s="23" t="s">
        <v>495</v>
      </c>
      <c r="L52" s="33" t="s">
        <v>496</v>
      </c>
      <c r="M52" s="18" t="s">
        <v>61</v>
      </c>
      <c r="N52" s="55" t="s">
        <v>41</v>
      </c>
      <c r="O52" s="31" t="s">
        <v>121</v>
      </c>
      <c r="P52" s="29" t="s">
        <v>497</v>
      </c>
      <c r="Q52" s="31" t="s">
        <v>59</v>
      </c>
      <c r="R52" s="33"/>
    </row>
    <row r="53" spans="1:18" ht="18" customHeight="1" x14ac:dyDescent="0.3">
      <c r="A53" s="95">
        <v>52</v>
      </c>
      <c r="B53" s="14" t="s">
        <v>480</v>
      </c>
      <c r="C53" s="97">
        <v>3257</v>
      </c>
      <c r="D53" s="23" t="s">
        <v>272</v>
      </c>
      <c r="E53" s="96">
        <v>1999</v>
      </c>
      <c r="F53" s="23" t="s">
        <v>63</v>
      </c>
      <c r="G53" s="29" t="s">
        <v>43</v>
      </c>
      <c r="H53" s="8" t="s">
        <v>105</v>
      </c>
      <c r="I53" s="8">
        <v>208</v>
      </c>
      <c r="J53" s="90" t="s">
        <v>39</v>
      </c>
      <c r="K53" s="23" t="s">
        <v>392</v>
      </c>
      <c r="L53" s="33" t="s">
        <v>293</v>
      </c>
      <c r="M53" s="10" t="s">
        <v>61</v>
      </c>
      <c r="N53" s="78" t="s">
        <v>41</v>
      </c>
      <c r="O53" s="32" t="s">
        <v>51</v>
      </c>
      <c r="P53" s="29" t="s">
        <v>379</v>
      </c>
      <c r="Q53" s="32" t="s">
        <v>59</v>
      </c>
      <c r="R53" s="34"/>
    </row>
    <row r="54" spans="1:18" ht="18" customHeight="1" x14ac:dyDescent="0.3">
      <c r="A54" s="95">
        <v>53</v>
      </c>
      <c r="B54" s="14" t="s">
        <v>480</v>
      </c>
      <c r="C54" s="97">
        <v>3337</v>
      </c>
      <c r="D54" s="23" t="s">
        <v>278</v>
      </c>
      <c r="E54" s="96">
        <v>1999</v>
      </c>
      <c r="F54" s="23" t="s">
        <v>143</v>
      </c>
      <c r="G54" s="29" t="s">
        <v>43</v>
      </c>
      <c r="H54" s="23" t="s">
        <v>61</v>
      </c>
      <c r="I54" s="23">
        <v>26</v>
      </c>
      <c r="J54" s="90" t="s">
        <v>39</v>
      </c>
      <c r="K54" s="23" t="s">
        <v>393</v>
      </c>
      <c r="L54" s="33" t="s">
        <v>394</v>
      </c>
      <c r="M54" s="10" t="s">
        <v>61</v>
      </c>
      <c r="N54" s="78" t="s">
        <v>41</v>
      </c>
      <c r="O54" s="31" t="s">
        <v>174</v>
      </c>
      <c r="P54" s="29" t="s">
        <v>395</v>
      </c>
      <c r="Q54" s="32" t="s">
        <v>32</v>
      </c>
      <c r="R54" s="34"/>
    </row>
    <row r="55" spans="1:18" ht="17.25" customHeight="1" x14ac:dyDescent="0.3">
      <c r="A55" s="95">
        <v>54</v>
      </c>
      <c r="B55" s="14" t="s">
        <v>480</v>
      </c>
      <c r="C55" s="50">
        <v>3346</v>
      </c>
      <c r="D55" s="23" t="s">
        <v>217</v>
      </c>
      <c r="E55" s="14">
        <v>1999</v>
      </c>
      <c r="F55" s="23" t="s">
        <v>139</v>
      </c>
      <c r="G55" s="29" t="s">
        <v>43</v>
      </c>
      <c r="H55" s="8" t="s">
        <v>105</v>
      </c>
      <c r="I55" s="8">
        <v>192</v>
      </c>
      <c r="J55" s="90" t="s">
        <v>39</v>
      </c>
      <c r="K55" s="23" t="s">
        <v>396</v>
      </c>
      <c r="L55" s="33" t="s">
        <v>294</v>
      </c>
      <c r="M55" s="10" t="s">
        <v>403</v>
      </c>
      <c r="N55" s="78" t="s">
        <v>41</v>
      </c>
      <c r="O55" s="31" t="s">
        <v>51</v>
      </c>
      <c r="P55" s="29" t="s">
        <v>397</v>
      </c>
      <c r="Q55" s="32" t="s">
        <v>218</v>
      </c>
      <c r="R55" s="34"/>
    </row>
    <row r="56" spans="1:18" ht="17.25" customHeight="1" x14ac:dyDescent="0.3">
      <c r="A56" s="95">
        <v>55</v>
      </c>
      <c r="B56" s="14" t="s">
        <v>543</v>
      </c>
      <c r="C56" s="50" t="s">
        <v>541</v>
      </c>
      <c r="D56" s="23" t="s">
        <v>542</v>
      </c>
      <c r="E56" s="14">
        <v>1999</v>
      </c>
      <c r="F56" s="23" t="s">
        <v>527</v>
      </c>
      <c r="G56" s="29" t="s">
        <v>43</v>
      </c>
      <c r="H56" s="23" t="s">
        <v>61</v>
      </c>
      <c r="I56" s="6">
        <v>138</v>
      </c>
      <c r="J56" s="90" t="s">
        <v>39</v>
      </c>
      <c r="K56" s="23" t="s">
        <v>622</v>
      </c>
      <c r="L56" s="33" t="s">
        <v>619</v>
      </c>
      <c r="M56" s="18" t="s">
        <v>61</v>
      </c>
      <c r="N56" s="55" t="s">
        <v>41</v>
      </c>
      <c r="O56" s="31" t="s">
        <v>51</v>
      </c>
      <c r="P56" s="29" t="s">
        <v>623</v>
      </c>
      <c r="Q56" s="31" t="s">
        <v>32</v>
      </c>
      <c r="R56" s="33"/>
    </row>
    <row r="57" spans="1:18" ht="17.25" customHeight="1" x14ac:dyDescent="0.3">
      <c r="A57" s="95">
        <v>56</v>
      </c>
      <c r="B57" s="14" t="s">
        <v>455</v>
      </c>
      <c r="C57" s="97">
        <v>3080</v>
      </c>
      <c r="D57" s="23" t="s">
        <v>442</v>
      </c>
      <c r="E57" s="96">
        <v>2000</v>
      </c>
      <c r="F57" s="23" t="s">
        <v>158</v>
      </c>
      <c r="G57" s="29" t="s">
        <v>43</v>
      </c>
      <c r="H57" s="23" t="s">
        <v>61</v>
      </c>
      <c r="I57" s="23">
        <v>738</v>
      </c>
      <c r="J57" s="90" t="s">
        <v>39</v>
      </c>
      <c r="K57" s="23" t="s">
        <v>375</v>
      </c>
      <c r="L57" s="33" t="s">
        <v>374</v>
      </c>
      <c r="M57" s="18" t="s">
        <v>321</v>
      </c>
      <c r="N57" s="55" t="s">
        <v>41</v>
      </c>
      <c r="O57" s="31" t="s">
        <v>121</v>
      </c>
      <c r="P57" s="29" t="s">
        <v>376</v>
      </c>
      <c r="Q57" s="31" t="s">
        <v>169</v>
      </c>
      <c r="R57" s="33"/>
    </row>
    <row r="58" spans="1:18" ht="17.25" customHeight="1" x14ac:dyDescent="0.3">
      <c r="A58" s="95">
        <v>57</v>
      </c>
      <c r="B58" s="14" t="s">
        <v>480</v>
      </c>
      <c r="C58" s="97">
        <v>3449</v>
      </c>
      <c r="D58" s="23" t="s">
        <v>282</v>
      </c>
      <c r="E58" s="96">
        <v>1998</v>
      </c>
      <c r="F58" s="23" t="s">
        <v>67</v>
      </c>
      <c r="G58" s="29" t="s">
        <v>43</v>
      </c>
      <c r="H58" s="8" t="s">
        <v>283</v>
      </c>
      <c r="I58" s="8">
        <v>92</v>
      </c>
      <c r="J58" s="90" t="s">
        <v>39</v>
      </c>
      <c r="K58" s="23" t="s">
        <v>398</v>
      </c>
      <c r="L58" s="33" t="s">
        <v>400</v>
      </c>
      <c r="M58" s="10" t="s">
        <v>61</v>
      </c>
      <c r="N58" s="78" t="s">
        <v>41</v>
      </c>
      <c r="O58" s="32" t="s">
        <v>271</v>
      </c>
      <c r="P58" s="29" t="s">
        <v>399</v>
      </c>
      <c r="Q58" s="32" t="s">
        <v>116</v>
      </c>
      <c r="R58" s="34"/>
    </row>
    <row r="59" spans="1:18" ht="17.25" customHeight="1" x14ac:dyDescent="0.3">
      <c r="A59" s="95">
        <v>58</v>
      </c>
      <c r="B59" s="14" t="s">
        <v>543</v>
      </c>
      <c r="C59" s="50" t="s">
        <v>539</v>
      </c>
      <c r="D59" s="23" t="s">
        <v>540</v>
      </c>
      <c r="E59" s="14">
        <v>1998</v>
      </c>
      <c r="F59" s="23" t="s">
        <v>527</v>
      </c>
      <c r="G59" s="29" t="s">
        <v>43</v>
      </c>
      <c r="H59" s="23" t="s">
        <v>61</v>
      </c>
      <c r="I59" s="6">
        <v>72</v>
      </c>
      <c r="J59" s="90" t="s">
        <v>39</v>
      </c>
      <c r="K59" s="23" t="s">
        <v>625</v>
      </c>
      <c r="L59" s="33" t="s">
        <v>626</v>
      </c>
      <c r="M59" s="18" t="s">
        <v>61</v>
      </c>
      <c r="N59" s="55" t="s">
        <v>41</v>
      </c>
      <c r="O59" s="31" t="s">
        <v>121</v>
      </c>
      <c r="P59" s="29" t="s">
        <v>624</v>
      </c>
      <c r="Q59" s="31" t="s">
        <v>59</v>
      </c>
      <c r="R59" s="33"/>
    </row>
    <row r="60" spans="1:18" ht="17.25" customHeight="1" x14ac:dyDescent="0.3">
      <c r="A60" s="95">
        <v>59</v>
      </c>
      <c r="B60" s="14" t="s">
        <v>480</v>
      </c>
      <c r="C60" s="97">
        <v>3580</v>
      </c>
      <c r="D60" s="23" t="s">
        <v>296</v>
      </c>
      <c r="E60" s="96">
        <v>1997</v>
      </c>
      <c r="F60" s="23" t="s">
        <v>139</v>
      </c>
      <c r="G60" s="29" t="s">
        <v>43</v>
      </c>
      <c r="H60" s="8" t="s">
        <v>61</v>
      </c>
      <c r="I60" s="8">
        <v>177</v>
      </c>
      <c r="J60" s="90" t="s">
        <v>39</v>
      </c>
      <c r="K60" s="23" t="s">
        <v>401</v>
      </c>
      <c r="L60" s="33" t="s">
        <v>297</v>
      </c>
      <c r="M60" s="10" t="s">
        <v>61</v>
      </c>
      <c r="N60" s="78" t="s">
        <v>41</v>
      </c>
      <c r="O60" s="32" t="s">
        <v>271</v>
      </c>
      <c r="P60" s="29" t="s">
        <v>402</v>
      </c>
      <c r="Q60" s="32" t="s">
        <v>59</v>
      </c>
      <c r="R60" s="34"/>
    </row>
    <row r="61" spans="1:18" ht="17.25" customHeight="1" x14ac:dyDescent="0.3">
      <c r="A61" s="95">
        <v>60</v>
      </c>
      <c r="B61" s="14" t="s">
        <v>480</v>
      </c>
      <c r="C61" s="97">
        <v>3646</v>
      </c>
      <c r="D61" s="23" t="s">
        <v>303</v>
      </c>
      <c r="E61" s="96">
        <v>1996</v>
      </c>
      <c r="F61" s="23" t="s">
        <v>139</v>
      </c>
      <c r="G61" s="29" t="s">
        <v>43</v>
      </c>
      <c r="H61" s="8" t="s">
        <v>61</v>
      </c>
      <c r="I61" s="8">
        <v>433</v>
      </c>
      <c r="J61" s="90" t="s">
        <v>39</v>
      </c>
      <c r="K61" s="23" t="s">
        <v>404</v>
      </c>
      <c r="L61" s="33" t="s">
        <v>55</v>
      </c>
      <c r="M61" s="10" t="s">
        <v>403</v>
      </c>
      <c r="N61" s="78" t="s">
        <v>41</v>
      </c>
      <c r="O61" s="32" t="s">
        <v>95</v>
      </c>
      <c r="P61" s="29" t="s">
        <v>405</v>
      </c>
      <c r="Q61" s="32" t="s">
        <v>59</v>
      </c>
      <c r="R61" s="34"/>
    </row>
    <row r="62" spans="1:18" ht="17.25" customHeight="1" x14ac:dyDescent="0.3">
      <c r="A62" s="95">
        <v>61</v>
      </c>
      <c r="B62" s="14" t="s">
        <v>480</v>
      </c>
      <c r="C62" s="50">
        <v>3651</v>
      </c>
      <c r="D62" s="23" t="s">
        <v>489</v>
      </c>
      <c r="E62" s="96">
        <v>1996</v>
      </c>
      <c r="F62" s="23" t="s">
        <v>490</v>
      </c>
      <c r="G62" s="29" t="s">
        <v>43</v>
      </c>
      <c r="H62" s="23" t="s">
        <v>61</v>
      </c>
      <c r="I62" s="23">
        <f>25+76</f>
        <v>101</v>
      </c>
      <c r="J62" s="90" t="s">
        <v>39</v>
      </c>
      <c r="K62" s="23" t="s">
        <v>491</v>
      </c>
      <c r="L62" s="33" t="s">
        <v>472</v>
      </c>
      <c r="M62" s="18" t="s">
        <v>61</v>
      </c>
      <c r="N62" s="55" t="s">
        <v>41</v>
      </c>
      <c r="O62" s="31" t="s">
        <v>51</v>
      </c>
      <c r="P62" s="29" t="s">
        <v>492</v>
      </c>
      <c r="Q62" s="31" t="s">
        <v>59</v>
      </c>
      <c r="R62" s="33"/>
    </row>
    <row r="63" spans="1:18" ht="17.25" customHeight="1" x14ac:dyDescent="0.3">
      <c r="A63" s="95">
        <v>62</v>
      </c>
      <c r="B63" s="14" t="s">
        <v>480</v>
      </c>
      <c r="C63" s="97">
        <v>3656</v>
      </c>
      <c r="D63" s="23" t="s">
        <v>278</v>
      </c>
      <c r="E63" s="98">
        <v>1996</v>
      </c>
      <c r="F63" s="23" t="s">
        <v>143</v>
      </c>
      <c r="G63" s="28" t="s">
        <v>43</v>
      </c>
      <c r="H63" s="8" t="s">
        <v>61</v>
      </c>
      <c r="I63" s="8">
        <v>96</v>
      </c>
      <c r="J63" s="90" t="s">
        <v>39</v>
      </c>
      <c r="K63" s="23" t="s">
        <v>409</v>
      </c>
      <c r="L63" s="33" t="s">
        <v>305</v>
      </c>
      <c r="M63" s="10" t="s">
        <v>61</v>
      </c>
      <c r="N63" s="78" t="s">
        <v>41</v>
      </c>
      <c r="O63" s="32" t="s">
        <v>174</v>
      </c>
      <c r="P63" s="29" t="s">
        <v>410</v>
      </c>
      <c r="Q63" s="32" t="s">
        <v>32</v>
      </c>
      <c r="R63" s="34"/>
    </row>
    <row r="64" spans="1:18" ht="18" customHeight="1" x14ac:dyDescent="0.3">
      <c r="A64" s="95">
        <v>63</v>
      </c>
      <c r="B64" s="14" t="s">
        <v>480</v>
      </c>
      <c r="C64" s="97">
        <v>3759</v>
      </c>
      <c r="D64" s="23" t="s">
        <v>217</v>
      </c>
      <c r="E64" s="98">
        <v>1995</v>
      </c>
      <c r="F64" s="23" t="s">
        <v>139</v>
      </c>
      <c r="G64" s="28" t="s">
        <v>43</v>
      </c>
      <c r="H64" s="8" t="s">
        <v>61</v>
      </c>
      <c r="I64" s="8">
        <v>98</v>
      </c>
      <c r="J64" s="90" t="s">
        <v>39</v>
      </c>
      <c r="K64" s="23" t="s">
        <v>412</v>
      </c>
      <c r="L64" s="33" t="s">
        <v>55</v>
      </c>
      <c r="M64" s="10" t="s">
        <v>61</v>
      </c>
      <c r="N64" s="78" t="s">
        <v>41</v>
      </c>
      <c r="O64" s="32" t="s">
        <v>51</v>
      </c>
      <c r="P64" s="29" t="s">
        <v>413</v>
      </c>
      <c r="Q64" s="32" t="s">
        <v>32</v>
      </c>
      <c r="R64" s="34"/>
    </row>
    <row r="65" spans="1:18" ht="18" customHeight="1" x14ac:dyDescent="0.3">
      <c r="A65" s="95">
        <v>64</v>
      </c>
      <c r="B65" s="14" t="s">
        <v>480</v>
      </c>
      <c r="C65" s="97">
        <v>3762</v>
      </c>
      <c r="D65" s="23" t="s">
        <v>307</v>
      </c>
      <c r="E65" s="98">
        <v>1995</v>
      </c>
      <c r="F65" s="23" t="s">
        <v>158</v>
      </c>
      <c r="G65" s="28" t="s">
        <v>43</v>
      </c>
      <c r="H65" s="8" t="s">
        <v>61</v>
      </c>
      <c r="I65" s="8">
        <v>142</v>
      </c>
      <c r="J65" s="90" t="s">
        <v>39</v>
      </c>
      <c r="K65" s="23" t="s">
        <v>415</v>
      </c>
      <c r="L65" s="33" t="s">
        <v>308</v>
      </c>
      <c r="M65" s="10" t="s">
        <v>61</v>
      </c>
      <c r="N65" s="78" t="s">
        <v>41</v>
      </c>
      <c r="O65" s="32" t="s">
        <v>121</v>
      </c>
      <c r="P65" s="29" t="s">
        <v>414</v>
      </c>
      <c r="Q65" s="32" t="s">
        <v>32</v>
      </c>
      <c r="R65" s="34"/>
    </row>
    <row r="66" spans="1:18" ht="18" customHeight="1" x14ac:dyDescent="0.3">
      <c r="A66" s="95">
        <v>65</v>
      </c>
      <c r="B66" s="14" t="s">
        <v>480</v>
      </c>
      <c r="C66" s="97">
        <v>3802</v>
      </c>
      <c r="D66" s="46" t="s">
        <v>295</v>
      </c>
      <c r="E66" s="98">
        <v>1995</v>
      </c>
      <c r="F66" s="100" t="s">
        <v>171</v>
      </c>
      <c r="G66" s="47" t="s">
        <v>43</v>
      </c>
      <c r="H66" s="46" t="s">
        <v>61</v>
      </c>
      <c r="I66" s="46">
        <v>114</v>
      </c>
      <c r="J66" s="93" t="s">
        <v>39</v>
      </c>
      <c r="K66" s="100" t="s">
        <v>409</v>
      </c>
      <c r="L66" s="33" t="s">
        <v>416</v>
      </c>
      <c r="M66" s="10" t="s">
        <v>61</v>
      </c>
      <c r="N66" s="78" t="s">
        <v>41</v>
      </c>
      <c r="O66" s="48" t="s">
        <v>318</v>
      </c>
      <c r="P66" s="29" t="s">
        <v>417</v>
      </c>
      <c r="Q66" s="48" t="s">
        <v>83</v>
      </c>
      <c r="R66" s="45"/>
    </row>
    <row r="67" spans="1:18" ht="18" customHeight="1" x14ac:dyDescent="0.3">
      <c r="A67" s="95">
        <v>66</v>
      </c>
      <c r="B67" s="14" t="s">
        <v>480</v>
      </c>
      <c r="C67" s="97">
        <v>3991</v>
      </c>
      <c r="D67" s="8" t="s">
        <v>309</v>
      </c>
      <c r="E67" s="98">
        <v>1993</v>
      </c>
      <c r="F67" s="23" t="s">
        <v>67</v>
      </c>
      <c r="G67" s="28" t="s">
        <v>43</v>
      </c>
      <c r="H67" s="8" t="s">
        <v>61</v>
      </c>
      <c r="I67" s="8">
        <f>153+137</f>
        <v>290</v>
      </c>
      <c r="J67" s="90" t="s">
        <v>39</v>
      </c>
      <c r="K67" s="23" t="s">
        <v>418</v>
      </c>
      <c r="L67" s="33" t="s">
        <v>306</v>
      </c>
      <c r="M67" s="10" t="s">
        <v>61</v>
      </c>
      <c r="N67" s="78" t="s">
        <v>41</v>
      </c>
      <c r="O67" s="32" t="s">
        <v>121</v>
      </c>
      <c r="P67" s="29" t="s">
        <v>389</v>
      </c>
      <c r="Q67" s="32" t="s">
        <v>59</v>
      </c>
      <c r="R67" s="34"/>
    </row>
  </sheetData>
  <sheetProtection algorithmName="SHA-512" hashValue="lLb5Ao3OPLzW9wCZJWBOUBQ9S8K1oIGRB7ATMXUghom1H/7PqallUXycmsEVmj2iCbiacMQL+GXGGrJzYgCvBg==" saltValue="dO0rOaLs4L6Drd97IXPo9g==" spinCount="100000" sheet="1" objects="1" scenarios="1" selectLockedCells="1" selectUnlockedCells="1"/>
  <autoFilter ref="B1:R67">
    <sortState ref="B2:X57">
      <sortCondition descending="1" ref="E1:E67"/>
    </sortState>
  </autoFilter>
  <sortState ref="B2:X71">
    <sortCondition descending="1" ref="B2:B71"/>
    <sortCondition descending="1" ref="E2:E71"/>
  </sortState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31"/>
  <sheetViews>
    <sheetView zoomScale="70" zoomScaleNormal="70" workbookViewId="0">
      <pane ySplit="3" topLeftCell="A236" activePane="bottomLeft" state="frozen"/>
      <selection pane="bottomLeft" activeCell="B386" sqref="B386"/>
    </sheetView>
  </sheetViews>
  <sheetFormatPr defaultRowHeight="13.5" x14ac:dyDescent="0.3"/>
  <cols>
    <col min="1" max="1" width="6.375" style="15" customWidth="1"/>
    <col min="2" max="2" width="9.625" style="19" customWidth="1"/>
    <col min="3" max="3" width="8.375" style="41" customWidth="1"/>
    <col min="4" max="4" width="11.25" style="19" customWidth="1"/>
    <col min="5" max="5" width="5.5" style="2" customWidth="1"/>
    <col min="6" max="6" width="9.375" style="2" customWidth="1"/>
    <col min="7" max="7" width="6.75" style="2" customWidth="1"/>
    <col min="8" max="8" width="7.875" style="2" customWidth="1"/>
    <col min="9" max="9" width="6.75" style="2" customWidth="1"/>
    <col min="10" max="10" width="12.875" style="2" customWidth="1"/>
    <col min="11" max="11" width="17.875" style="2" customWidth="1"/>
    <col min="12" max="14" width="4.5" style="1" customWidth="1"/>
    <col min="15" max="15" width="6.125" style="1" customWidth="1"/>
    <col min="16" max="23" width="5.5" style="1" customWidth="1"/>
    <col min="24" max="24" width="9.375" style="1" customWidth="1"/>
    <col min="25" max="25" width="6.375" style="1" customWidth="1"/>
    <col min="26" max="33" width="5.75" style="1" customWidth="1"/>
    <col min="34" max="34" width="8" style="1" customWidth="1"/>
    <col min="35" max="16384" width="9" style="1"/>
  </cols>
  <sheetData>
    <row r="1" spans="1:34" ht="13.5" customHeight="1" x14ac:dyDescent="0.3">
      <c r="A1" s="102" t="s">
        <v>0</v>
      </c>
      <c r="B1" s="102" t="s">
        <v>1</v>
      </c>
      <c r="C1" s="102" t="s">
        <v>33</v>
      </c>
      <c r="D1" s="102" t="s">
        <v>3</v>
      </c>
      <c r="E1" s="108" t="s">
        <v>4</v>
      </c>
      <c r="F1" s="108"/>
      <c r="G1" s="108"/>
      <c r="H1" s="108"/>
      <c r="I1" s="108"/>
      <c r="J1" s="105" t="s">
        <v>617</v>
      </c>
      <c r="K1" s="105" t="s">
        <v>314</v>
      </c>
      <c r="L1" s="111" t="s">
        <v>28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09" t="s">
        <v>5</v>
      </c>
      <c r="AA1" s="109"/>
      <c r="AB1" s="109"/>
      <c r="AC1" s="109"/>
      <c r="AD1" s="109"/>
      <c r="AE1" s="109"/>
      <c r="AF1" s="109"/>
      <c r="AG1" s="109"/>
      <c r="AH1" s="109"/>
    </row>
    <row r="2" spans="1:34" ht="17.25" customHeight="1" x14ac:dyDescent="0.3">
      <c r="A2" s="103"/>
      <c r="B2" s="103"/>
      <c r="C2" s="103"/>
      <c r="D2" s="103"/>
      <c r="E2" s="52" t="s">
        <v>34</v>
      </c>
      <c r="F2" s="108" t="s">
        <v>6</v>
      </c>
      <c r="G2" s="108"/>
      <c r="H2" s="108" t="s">
        <v>7</v>
      </c>
      <c r="I2" s="108"/>
      <c r="J2" s="106"/>
      <c r="K2" s="106"/>
      <c r="L2" s="4" t="s">
        <v>8</v>
      </c>
      <c r="M2" s="4" t="s">
        <v>9</v>
      </c>
      <c r="N2" s="4" t="s">
        <v>10</v>
      </c>
      <c r="O2" s="4" t="s">
        <v>11</v>
      </c>
      <c r="P2" s="53" t="s">
        <v>12</v>
      </c>
      <c r="Q2" s="53" t="s">
        <v>13</v>
      </c>
      <c r="R2" s="53" t="s">
        <v>14</v>
      </c>
      <c r="S2" s="53" t="s">
        <v>15</v>
      </c>
      <c r="T2" s="53" t="s">
        <v>16</v>
      </c>
      <c r="U2" s="53" t="s">
        <v>17</v>
      </c>
      <c r="V2" s="3" t="s">
        <v>18</v>
      </c>
      <c r="W2" s="110" t="s">
        <v>19</v>
      </c>
      <c r="X2" s="110"/>
      <c r="Y2" s="53" t="s">
        <v>20</v>
      </c>
      <c r="Z2" s="5" t="s">
        <v>8</v>
      </c>
      <c r="AA2" s="5" t="s">
        <v>9</v>
      </c>
      <c r="AB2" s="5" t="s">
        <v>10</v>
      </c>
      <c r="AC2" s="5" t="s">
        <v>11</v>
      </c>
      <c r="AD2" s="53" t="s">
        <v>21</v>
      </c>
      <c r="AE2" s="53" t="s">
        <v>13</v>
      </c>
      <c r="AF2" s="53" t="s">
        <v>14</v>
      </c>
      <c r="AG2" s="53" t="s">
        <v>15</v>
      </c>
      <c r="AH2" s="3" t="s">
        <v>18</v>
      </c>
    </row>
    <row r="3" spans="1:34" ht="17.25" customHeight="1" x14ac:dyDescent="0.3">
      <c r="A3" s="104"/>
      <c r="B3" s="104"/>
      <c r="C3" s="104"/>
      <c r="D3" s="104"/>
      <c r="E3" s="25" t="s">
        <v>23</v>
      </c>
      <c r="F3" s="25" t="s">
        <v>22</v>
      </c>
      <c r="G3" s="25" t="s">
        <v>23</v>
      </c>
      <c r="H3" s="25" t="s">
        <v>22</v>
      </c>
      <c r="I3" s="25" t="s">
        <v>23</v>
      </c>
      <c r="J3" s="107"/>
      <c r="K3" s="106"/>
      <c r="L3" s="26" t="s">
        <v>23</v>
      </c>
      <c r="M3" s="26" t="s">
        <v>23</v>
      </c>
      <c r="N3" s="26" t="s">
        <v>23</v>
      </c>
      <c r="O3" s="26" t="s">
        <v>23</v>
      </c>
      <c r="P3" s="27" t="s">
        <v>24</v>
      </c>
      <c r="Q3" s="27" t="s">
        <v>24</v>
      </c>
      <c r="R3" s="27" t="s">
        <v>24</v>
      </c>
      <c r="S3" s="27" t="s">
        <v>24</v>
      </c>
      <c r="T3" s="27" t="s">
        <v>24</v>
      </c>
      <c r="U3" s="27" t="s">
        <v>24</v>
      </c>
      <c r="V3" s="27" t="s">
        <v>24</v>
      </c>
      <c r="W3" s="27" t="s">
        <v>25</v>
      </c>
      <c r="X3" s="27" t="s">
        <v>26</v>
      </c>
      <c r="Y3" s="27" t="s">
        <v>27</v>
      </c>
      <c r="Z3" s="26" t="s">
        <v>23</v>
      </c>
      <c r="AA3" s="26" t="s">
        <v>23</v>
      </c>
      <c r="AB3" s="26" t="s">
        <v>23</v>
      </c>
      <c r="AC3" s="26" t="s">
        <v>23</v>
      </c>
      <c r="AD3" s="27"/>
      <c r="AE3" s="27"/>
      <c r="AF3" s="27"/>
      <c r="AG3" s="27"/>
      <c r="AH3" s="27"/>
    </row>
    <row r="4" spans="1:34" ht="18" customHeight="1" x14ac:dyDescent="0.3">
      <c r="A4" s="14">
        <v>6275</v>
      </c>
      <c r="B4" s="23" t="s">
        <v>548</v>
      </c>
      <c r="C4" s="14">
        <v>2021</v>
      </c>
      <c r="D4" s="18" t="str">
        <f>VLOOKUP(A4, '전체 목록(n=66)'!C:F, 4, FALSE)</f>
        <v>파키스탄</v>
      </c>
      <c r="E4" s="23">
        <v>140</v>
      </c>
      <c r="F4" s="23" t="s">
        <v>97</v>
      </c>
      <c r="G4" s="23">
        <v>21</v>
      </c>
      <c r="H4" s="23" t="s">
        <v>98</v>
      </c>
      <c r="I4" s="23">
        <v>119</v>
      </c>
      <c r="J4" s="23" t="s">
        <v>39</v>
      </c>
      <c r="K4" s="23" t="s">
        <v>167</v>
      </c>
      <c r="L4" s="18"/>
      <c r="M4" s="18"/>
      <c r="N4" s="18"/>
      <c r="O4" s="18"/>
      <c r="P4" s="19">
        <v>32</v>
      </c>
      <c r="Q4" s="19">
        <v>90</v>
      </c>
      <c r="R4" s="19">
        <v>41</v>
      </c>
      <c r="S4" s="19">
        <v>87.2</v>
      </c>
      <c r="T4" s="18"/>
      <c r="U4" s="18"/>
      <c r="V4" s="18"/>
      <c r="W4" s="18"/>
      <c r="X4" s="18"/>
      <c r="Y4" s="18"/>
      <c r="Z4" s="58">
        <f t="shared" ref="Z4:Z67" si="0">G4*P4/100</f>
        <v>6.72</v>
      </c>
      <c r="AA4" s="58">
        <f t="shared" ref="AA4:AA67" si="1">I4-AC4</f>
        <v>11.900000000000006</v>
      </c>
      <c r="AB4" s="58">
        <f t="shared" ref="AB4:AB67" si="2">G4-Z4</f>
        <v>14.280000000000001</v>
      </c>
      <c r="AC4" s="58">
        <f t="shared" ref="AC4:AC67" si="3">I4*Q4/100</f>
        <v>107.1</v>
      </c>
      <c r="AD4" s="59">
        <f t="shared" ref="AD4:AD16" si="4">Z4/(Z4+AB4)</f>
        <v>0.32</v>
      </c>
      <c r="AE4" s="59">
        <f t="shared" ref="AE4:AE16" si="5">AC4/(AA4+AC4)</f>
        <v>0.89999999999999991</v>
      </c>
      <c r="AF4" s="59">
        <f t="shared" ref="AF4:AF16" si="6">Z4/(Z4+AA4)</f>
        <v>0.36090225563909767</v>
      </c>
      <c r="AG4" s="59">
        <f t="shared" ref="AG4:AG16" si="7">AC4/(AB4+AC4)</f>
        <v>0.88235294117647056</v>
      </c>
      <c r="AH4" s="59">
        <f t="shared" ref="AH4:AH16" si="8">(Z4+AC4)/(Z4+AA4+AB4+AC4)</f>
        <v>0.81299999999999994</v>
      </c>
    </row>
    <row r="5" spans="1:34" ht="18" customHeight="1" x14ac:dyDescent="0.3">
      <c r="A5" s="14">
        <v>6275</v>
      </c>
      <c r="B5" s="23" t="s">
        <v>548</v>
      </c>
      <c r="C5" s="14">
        <v>2021</v>
      </c>
      <c r="D5" s="18" t="str">
        <f>VLOOKUP(A5, '전체 목록(n=66)'!C:F, 4, FALSE)</f>
        <v>파키스탄</v>
      </c>
      <c r="E5" s="23">
        <v>140</v>
      </c>
      <c r="F5" s="23" t="s">
        <v>97</v>
      </c>
      <c r="G5" s="23">
        <v>21</v>
      </c>
      <c r="H5" s="23" t="s">
        <v>98</v>
      </c>
      <c r="I5" s="23">
        <v>119</v>
      </c>
      <c r="J5" s="6" t="s">
        <v>56</v>
      </c>
      <c r="K5" s="23" t="s">
        <v>167</v>
      </c>
      <c r="L5" s="19"/>
      <c r="M5" s="19"/>
      <c r="N5" s="19"/>
      <c r="O5" s="19"/>
      <c r="P5" s="19">
        <v>3.2</v>
      </c>
      <c r="Q5" s="19">
        <v>97</v>
      </c>
      <c r="R5" s="19">
        <v>30</v>
      </c>
      <c r="S5" s="19">
        <v>85.2</v>
      </c>
      <c r="T5" s="19"/>
      <c r="U5" s="19"/>
      <c r="V5" s="19"/>
      <c r="W5" s="19"/>
      <c r="X5" s="19"/>
      <c r="Y5" s="19"/>
      <c r="Z5" s="58">
        <f t="shared" si="0"/>
        <v>0.67200000000000004</v>
      </c>
      <c r="AA5" s="58">
        <f t="shared" si="1"/>
        <v>3.5699999999999932</v>
      </c>
      <c r="AB5" s="58">
        <f t="shared" si="2"/>
        <v>20.327999999999999</v>
      </c>
      <c r="AC5" s="58">
        <f t="shared" si="3"/>
        <v>115.43</v>
      </c>
      <c r="AD5" s="59">
        <f t="shared" si="4"/>
        <v>3.2000000000000001E-2</v>
      </c>
      <c r="AE5" s="59">
        <f t="shared" si="5"/>
        <v>0.97000000000000008</v>
      </c>
      <c r="AF5" s="59">
        <f t="shared" si="6"/>
        <v>0.1584158415841587</v>
      </c>
      <c r="AG5" s="59">
        <f t="shared" si="7"/>
        <v>0.8502629679282252</v>
      </c>
      <c r="AH5" s="59">
        <f t="shared" si="8"/>
        <v>0.82930000000000004</v>
      </c>
    </row>
    <row r="6" spans="1:34" ht="18" customHeight="1" x14ac:dyDescent="0.3">
      <c r="A6" s="14">
        <v>6275</v>
      </c>
      <c r="B6" s="23" t="s">
        <v>548</v>
      </c>
      <c r="C6" s="14">
        <v>2021</v>
      </c>
      <c r="D6" s="18" t="str">
        <f>VLOOKUP(A6, '전체 목록(n=66)'!C:F, 4, FALSE)</f>
        <v>파키스탄</v>
      </c>
      <c r="E6" s="23">
        <v>140</v>
      </c>
      <c r="F6" s="23" t="s">
        <v>97</v>
      </c>
      <c r="G6" s="23">
        <v>21</v>
      </c>
      <c r="H6" s="23" t="s">
        <v>98</v>
      </c>
      <c r="I6" s="23">
        <v>119</v>
      </c>
      <c r="J6" s="6" t="s">
        <v>57</v>
      </c>
      <c r="K6" s="23" t="s">
        <v>167</v>
      </c>
      <c r="L6" s="19"/>
      <c r="M6" s="19"/>
      <c r="N6" s="19"/>
      <c r="O6" s="19"/>
      <c r="P6" s="19">
        <v>32.1</v>
      </c>
      <c r="Q6" s="19">
        <v>87.4</v>
      </c>
      <c r="R6" s="19">
        <v>33.200000000000003</v>
      </c>
      <c r="S6" s="19">
        <v>88.9</v>
      </c>
      <c r="T6" s="19"/>
      <c r="U6" s="19"/>
      <c r="V6" s="19"/>
      <c r="W6" s="19"/>
      <c r="X6" s="19"/>
      <c r="Y6" s="19"/>
      <c r="Z6" s="58">
        <f t="shared" si="0"/>
        <v>6.7410000000000005</v>
      </c>
      <c r="AA6" s="58">
        <f t="shared" si="1"/>
        <v>14.994</v>
      </c>
      <c r="AB6" s="58">
        <f t="shared" si="2"/>
        <v>14.259</v>
      </c>
      <c r="AC6" s="58">
        <f t="shared" si="3"/>
        <v>104.006</v>
      </c>
      <c r="AD6" s="59">
        <f t="shared" si="4"/>
        <v>0.32100000000000001</v>
      </c>
      <c r="AE6" s="59">
        <f t="shared" si="5"/>
        <v>0.874</v>
      </c>
      <c r="AF6" s="59">
        <f t="shared" si="6"/>
        <v>0.31014492753623191</v>
      </c>
      <c r="AG6" s="59">
        <f t="shared" si="7"/>
        <v>0.8794317845516425</v>
      </c>
      <c r="AH6" s="59">
        <f t="shared" si="8"/>
        <v>0.79105000000000003</v>
      </c>
    </row>
    <row r="7" spans="1:34" ht="18" customHeight="1" x14ac:dyDescent="0.3">
      <c r="A7" s="14">
        <v>6275</v>
      </c>
      <c r="B7" s="23" t="s">
        <v>548</v>
      </c>
      <c r="C7" s="14">
        <v>2021</v>
      </c>
      <c r="D7" s="18" t="str">
        <f>VLOOKUP(A7, '전체 목록(n=66)'!C:F, 4, FALSE)</f>
        <v>파키스탄</v>
      </c>
      <c r="E7" s="23">
        <v>140</v>
      </c>
      <c r="F7" s="23" t="s">
        <v>97</v>
      </c>
      <c r="G7" s="23">
        <v>21</v>
      </c>
      <c r="H7" s="23" t="s">
        <v>98</v>
      </c>
      <c r="I7" s="23">
        <v>119</v>
      </c>
      <c r="J7" s="23" t="s">
        <v>39</v>
      </c>
      <c r="K7" s="23" t="s">
        <v>277</v>
      </c>
      <c r="L7" s="19"/>
      <c r="M7" s="19"/>
      <c r="N7" s="19"/>
      <c r="O7" s="19"/>
      <c r="P7" s="63">
        <v>72</v>
      </c>
      <c r="Q7" s="18">
        <v>90</v>
      </c>
      <c r="R7" s="19">
        <v>60.5</v>
      </c>
      <c r="S7" s="18">
        <v>94</v>
      </c>
      <c r="T7" s="19"/>
      <c r="U7" s="19"/>
      <c r="V7" s="19"/>
      <c r="W7" s="19"/>
      <c r="X7" s="19"/>
      <c r="Y7" s="19"/>
      <c r="Z7" s="58">
        <f t="shared" si="0"/>
        <v>15.12</v>
      </c>
      <c r="AA7" s="58">
        <f t="shared" si="1"/>
        <v>11.900000000000006</v>
      </c>
      <c r="AB7" s="58">
        <f t="shared" si="2"/>
        <v>5.8800000000000008</v>
      </c>
      <c r="AC7" s="58">
        <f t="shared" si="3"/>
        <v>107.1</v>
      </c>
      <c r="AD7" s="59">
        <f t="shared" si="4"/>
        <v>0.72</v>
      </c>
      <c r="AE7" s="59">
        <f t="shared" si="5"/>
        <v>0.89999999999999991</v>
      </c>
      <c r="AF7" s="59">
        <f t="shared" si="6"/>
        <v>0.55958549222797915</v>
      </c>
      <c r="AG7" s="59">
        <f t="shared" si="7"/>
        <v>0.94795539033457255</v>
      </c>
      <c r="AH7" s="59">
        <f t="shared" si="8"/>
        <v>0.873</v>
      </c>
    </row>
    <row r="8" spans="1:34" ht="18" customHeight="1" x14ac:dyDescent="0.3">
      <c r="A8" s="14">
        <v>6275</v>
      </c>
      <c r="B8" s="23" t="s">
        <v>548</v>
      </c>
      <c r="C8" s="14">
        <v>2021</v>
      </c>
      <c r="D8" s="18" t="str">
        <f>VLOOKUP(A8, '전체 목록(n=66)'!C:F, 4, FALSE)</f>
        <v>파키스탄</v>
      </c>
      <c r="E8" s="23">
        <v>140</v>
      </c>
      <c r="F8" s="23" t="s">
        <v>97</v>
      </c>
      <c r="G8" s="23">
        <v>21</v>
      </c>
      <c r="H8" s="23" t="s">
        <v>98</v>
      </c>
      <c r="I8" s="23">
        <v>119</v>
      </c>
      <c r="J8" s="6" t="s">
        <v>56</v>
      </c>
      <c r="K8" s="23" t="s">
        <v>277</v>
      </c>
      <c r="L8" s="19"/>
      <c r="M8" s="19"/>
      <c r="N8" s="19"/>
      <c r="O8" s="19"/>
      <c r="P8" s="19">
        <v>7.1</v>
      </c>
      <c r="Q8" s="19">
        <v>98</v>
      </c>
      <c r="R8" s="19">
        <v>40.200000000000003</v>
      </c>
      <c r="S8" s="19">
        <v>84.9</v>
      </c>
      <c r="T8" s="19"/>
      <c r="U8" s="19"/>
      <c r="V8" s="19"/>
      <c r="W8" s="19"/>
      <c r="X8" s="19"/>
      <c r="Y8" s="19"/>
      <c r="Z8" s="58">
        <f t="shared" si="0"/>
        <v>1.4909999999999999</v>
      </c>
      <c r="AA8" s="58">
        <f t="shared" si="1"/>
        <v>2.3799999999999955</v>
      </c>
      <c r="AB8" s="58">
        <f t="shared" si="2"/>
        <v>19.509</v>
      </c>
      <c r="AC8" s="58">
        <f t="shared" si="3"/>
        <v>116.62</v>
      </c>
      <c r="AD8" s="59">
        <f t="shared" si="4"/>
        <v>7.0999999999999994E-2</v>
      </c>
      <c r="AE8" s="59">
        <f t="shared" si="5"/>
        <v>0.98000000000000009</v>
      </c>
      <c r="AF8" s="59">
        <f t="shared" si="6"/>
        <v>0.38517179023508186</v>
      </c>
      <c r="AG8" s="59">
        <f t="shared" si="7"/>
        <v>0.85668740679796362</v>
      </c>
      <c r="AH8" s="59">
        <f t="shared" si="8"/>
        <v>0.84365000000000001</v>
      </c>
    </row>
    <row r="9" spans="1:34" ht="18" customHeight="1" x14ac:dyDescent="0.3">
      <c r="A9" s="14">
        <v>6275</v>
      </c>
      <c r="B9" s="23" t="s">
        <v>548</v>
      </c>
      <c r="C9" s="14">
        <v>2021</v>
      </c>
      <c r="D9" s="18" t="str">
        <f>VLOOKUP(A9, '전체 목록(n=66)'!C:F, 4, FALSE)</f>
        <v>파키스탄</v>
      </c>
      <c r="E9" s="23">
        <v>140</v>
      </c>
      <c r="F9" s="23" t="s">
        <v>97</v>
      </c>
      <c r="G9" s="23">
        <v>21</v>
      </c>
      <c r="H9" s="23" t="s">
        <v>98</v>
      </c>
      <c r="I9" s="23">
        <v>119</v>
      </c>
      <c r="J9" s="6" t="s">
        <v>57</v>
      </c>
      <c r="K9" s="23" t="s">
        <v>277</v>
      </c>
      <c r="L9" s="19"/>
      <c r="M9" s="19"/>
      <c r="N9" s="19"/>
      <c r="O9" s="19"/>
      <c r="P9" s="19">
        <v>32.299999999999997</v>
      </c>
      <c r="Q9" s="19">
        <v>87.5</v>
      </c>
      <c r="R9" s="19">
        <v>33.200000000000003</v>
      </c>
      <c r="S9" s="19">
        <v>86.5</v>
      </c>
      <c r="T9" s="19"/>
      <c r="U9" s="19"/>
      <c r="V9" s="19"/>
      <c r="W9" s="19"/>
      <c r="X9" s="19"/>
      <c r="Y9" s="19"/>
      <c r="Z9" s="58">
        <f t="shared" si="0"/>
        <v>6.7829999999999995</v>
      </c>
      <c r="AA9" s="58">
        <f t="shared" si="1"/>
        <v>14.875</v>
      </c>
      <c r="AB9" s="58">
        <f t="shared" si="2"/>
        <v>14.217000000000001</v>
      </c>
      <c r="AC9" s="58">
        <f t="shared" si="3"/>
        <v>104.125</v>
      </c>
      <c r="AD9" s="59">
        <f t="shared" si="4"/>
        <v>0.32299999999999995</v>
      </c>
      <c r="AE9" s="59">
        <f t="shared" si="5"/>
        <v>0.875</v>
      </c>
      <c r="AF9" s="59">
        <f t="shared" si="6"/>
        <v>0.31318681318681313</v>
      </c>
      <c r="AG9" s="59">
        <f t="shared" si="7"/>
        <v>0.87986513663788002</v>
      </c>
      <c r="AH9" s="59">
        <f t="shared" si="8"/>
        <v>0.79220000000000002</v>
      </c>
    </row>
    <row r="10" spans="1:34" ht="18" customHeight="1" x14ac:dyDescent="0.3">
      <c r="A10" s="14">
        <v>6275</v>
      </c>
      <c r="B10" s="23" t="s">
        <v>548</v>
      </c>
      <c r="C10" s="14">
        <v>2021</v>
      </c>
      <c r="D10" s="18" t="str">
        <f>VLOOKUP(A10, '전체 목록(n=66)'!C:F, 4, FALSE)</f>
        <v>파키스탄</v>
      </c>
      <c r="E10" s="23">
        <v>140</v>
      </c>
      <c r="F10" s="23" t="s">
        <v>97</v>
      </c>
      <c r="G10" s="23">
        <v>21</v>
      </c>
      <c r="H10" s="23" t="s">
        <v>98</v>
      </c>
      <c r="I10" s="23">
        <v>119</v>
      </c>
      <c r="J10" s="23" t="s">
        <v>39</v>
      </c>
      <c r="K10" s="23" t="s">
        <v>168</v>
      </c>
      <c r="L10" s="19"/>
      <c r="M10" s="19"/>
      <c r="N10" s="19"/>
      <c r="O10" s="19"/>
      <c r="P10" s="19">
        <v>86</v>
      </c>
      <c r="Q10" s="19">
        <v>94.2</v>
      </c>
      <c r="R10" s="19">
        <v>78.2</v>
      </c>
      <c r="S10" s="19">
        <v>97.3</v>
      </c>
      <c r="T10" s="19"/>
      <c r="U10" s="19"/>
      <c r="V10" s="19"/>
      <c r="W10" s="19"/>
      <c r="X10" s="19"/>
      <c r="Y10" s="19"/>
      <c r="Z10" s="58">
        <f t="shared" si="0"/>
        <v>18.059999999999999</v>
      </c>
      <c r="AA10" s="58">
        <f t="shared" si="1"/>
        <v>6.9019999999999868</v>
      </c>
      <c r="AB10" s="58">
        <f t="shared" si="2"/>
        <v>2.9400000000000013</v>
      </c>
      <c r="AC10" s="58">
        <f t="shared" si="3"/>
        <v>112.09800000000001</v>
      </c>
      <c r="AD10" s="59">
        <f t="shared" si="4"/>
        <v>0.86</v>
      </c>
      <c r="AE10" s="59">
        <f t="shared" si="5"/>
        <v>0.94200000000000006</v>
      </c>
      <c r="AF10" s="59">
        <f t="shared" si="6"/>
        <v>0.72349971957375248</v>
      </c>
      <c r="AG10" s="59">
        <f t="shared" si="7"/>
        <v>0.97444322745527567</v>
      </c>
      <c r="AH10" s="59">
        <f t="shared" si="8"/>
        <v>0.92970000000000008</v>
      </c>
    </row>
    <row r="11" spans="1:34" ht="18" customHeight="1" x14ac:dyDescent="0.3">
      <c r="A11" s="14">
        <v>6275</v>
      </c>
      <c r="B11" s="23" t="s">
        <v>548</v>
      </c>
      <c r="C11" s="14">
        <v>2021</v>
      </c>
      <c r="D11" s="18" t="str">
        <f>VLOOKUP(A11, '전체 목록(n=66)'!C:F, 4, FALSE)</f>
        <v>파키스탄</v>
      </c>
      <c r="E11" s="23">
        <v>140</v>
      </c>
      <c r="F11" s="23" t="s">
        <v>97</v>
      </c>
      <c r="G11" s="23">
        <v>21</v>
      </c>
      <c r="H11" s="23" t="s">
        <v>98</v>
      </c>
      <c r="I11" s="23">
        <v>119</v>
      </c>
      <c r="J11" s="6" t="s">
        <v>56</v>
      </c>
      <c r="K11" s="23" t="s">
        <v>168</v>
      </c>
      <c r="L11" s="19"/>
      <c r="M11" s="19"/>
      <c r="N11" s="19"/>
      <c r="O11" s="19"/>
      <c r="P11" s="19">
        <v>21.1</v>
      </c>
      <c r="Q11" s="19">
        <v>98</v>
      </c>
      <c r="R11" s="19">
        <v>65.2</v>
      </c>
      <c r="S11" s="19">
        <v>86.9</v>
      </c>
      <c r="T11" s="19"/>
      <c r="U11" s="19"/>
      <c r="V11" s="19"/>
      <c r="W11" s="19"/>
      <c r="X11" s="19"/>
      <c r="Y11" s="19"/>
      <c r="Z11" s="58">
        <f t="shared" si="0"/>
        <v>4.431</v>
      </c>
      <c r="AA11" s="58">
        <f t="shared" si="1"/>
        <v>2.3799999999999955</v>
      </c>
      <c r="AB11" s="58">
        <f t="shared" si="2"/>
        <v>16.568999999999999</v>
      </c>
      <c r="AC11" s="58">
        <f t="shared" si="3"/>
        <v>116.62</v>
      </c>
      <c r="AD11" s="59">
        <f t="shared" si="4"/>
        <v>0.21099999999999999</v>
      </c>
      <c r="AE11" s="59">
        <f t="shared" si="5"/>
        <v>0.98000000000000009</v>
      </c>
      <c r="AF11" s="59">
        <f t="shared" si="6"/>
        <v>0.65056526207605392</v>
      </c>
      <c r="AG11" s="59">
        <f t="shared" si="7"/>
        <v>0.87559783465601526</v>
      </c>
      <c r="AH11" s="59">
        <f t="shared" si="8"/>
        <v>0.86465000000000003</v>
      </c>
    </row>
    <row r="12" spans="1:34" ht="18" customHeight="1" x14ac:dyDescent="0.3">
      <c r="A12" s="14">
        <v>6275</v>
      </c>
      <c r="B12" s="23" t="s">
        <v>548</v>
      </c>
      <c r="C12" s="14">
        <v>2021</v>
      </c>
      <c r="D12" s="18" t="str">
        <f>VLOOKUP(A12, '전체 목록(n=66)'!C:F, 4, FALSE)</f>
        <v>파키스탄</v>
      </c>
      <c r="E12" s="23">
        <v>140</v>
      </c>
      <c r="F12" s="23" t="s">
        <v>97</v>
      </c>
      <c r="G12" s="23">
        <v>21</v>
      </c>
      <c r="H12" s="23" t="s">
        <v>98</v>
      </c>
      <c r="I12" s="23">
        <v>119</v>
      </c>
      <c r="J12" s="6" t="s">
        <v>57</v>
      </c>
      <c r="K12" s="23" t="s">
        <v>168</v>
      </c>
      <c r="L12" s="19"/>
      <c r="M12" s="19"/>
      <c r="N12" s="19"/>
      <c r="O12" s="19"/>
      <c r="P12" s="19">
        <v>57.6</v>
      </c>
      <c r="Q12" s="19">
        <v>86</v>
      </c>
      <c r="R12" s="19">
        <v>46.8</v>
      </c>
      <c r="S12" s="19">
        <v>89.3</v>
      </c>
      <c r="T12" s="19"/>
      <c r="U12" s="19"/>
      <c r="V12" s="19"/>
      <c r="W12" s="19"/>
      <c r="X12" s="19"/>
      <c r="Y12" s="19"/>
      <c r="Z12" s="58">
        <f t="shared" si="0"/>
        <v>12.096000000000002</v>
      </c>
      <c r="AA12" s="58">
        <f t="shared" si="1"/>
        <v>16.659999999999997</v>
      </c>
      <c r="AB12" s="58">
        <f t="shared" si="2"/>
        <v>8.9039999999999981</v>
      </c>
      <c r="AC12" s="58">
        <f t="shared" si="3"/>
        <v>102.34</v>
      </c>
      <c r="AD12" s="59">
        <f t="shared" si="4"/>
        <v>0.57600000000000007</v>
      </c>
      <c r="AE12" s="59">
        <f t="shared" si="5"/>
        <v>0.86</v>
      </c>
      <c r="AF12" s="59">
        <f t="shared" si="6"/>
        <v>0.42064264849074984</v>
      </c>
      <c r="AG12" s="59">
        <f t="shared" si="7"/>
        <v>0.91995972816511451</v>
      </c>
      <c r="AH12" s="59">
        <f t="shared" si="8"/>
        <v>0.81740000000000002</v>
      </c>
    </row>
    <row r="13" spans="1:34" ht="18" customHeight="1" x14ac:dyDescent="0.3">
      <c r="A13" s="14">
        <v>6275</v>
      </c>
      <c r="B13" s="23" t="s">
        <v>548</v>
      </c>
      <c r="C13" s="14">
        <v>2021</v>
      </c>
      <c r="D13" s="18" t="str">
        <f>VLOOKUP(A13, '전체 목록(n=66)'!C:F, 4, FALSE)</f>
        <v>파키스탄</v>
      </c>
      <c r="E13" s="23">
        <v>140</v>
      </c>
      <c r="F13" s="23" t="s">
        <v>97</v>
      </c>
      <c r="G13" s="23">
        <v>21</v>
      </c>
      <c r="H13" s="23" t="s">
        <v>98</v>
      </c>
      <c r="I13" s="23">
        <v>119</v>
      </c>
      <c r="J13" s="23" t="s">
        <v>39</v>
      </c>
      <c r="K13" s="23" t="s">
        <v>166</v>
      </c>
      <c r="L13" s="19"/>
      <c r="M13" s="19"/>
      <c r="N13" s="19"/>
      <c r="O13" s="19"/>
      <c r="P13" s="19">
        <v>80.3</v>
      </c>
      <c r="Q13" s="19">
        <v>94.2</v>
      </c>
      <c r="R13" s="19">
        <v>80.400000000000006</v>
      </c>
      <c r="S13" s="19">
        <v>97</v>
      </c>
      <c r="T13" s="19"/>
      <c r="U13" s="19"/>
      <c r="V13" s="19"/>
      <c r="W13" s="19"/>
      <c r="X13" s="19"/>
      <c r="Y13" s="19"/>
      <c r="Z13" s="58">
        <f t="shared" si="0"/>
        <v>16.863</v>
      </c>
      <c r="AA13" s="58">
        <f t="shared" si="1"/>
        <v>6.9019999999999868</v>
      </c>
      <c r="AB13" s="58">
        <f t="shared" si="2"/>
        <v>4.1370000000000005</v>
      </c>
      <c r="AC13" s="58">
        <f t="shared" si="3"/>
        <v>112.09800000000001</v>
      </c>
      <c r="AD13" s="59">
        <f t="shared" si="4"/>
        <v>0.80299999999999994</v>
      </c>
      <c r="AE13" s="59">
        <f t="shared" si="5"/>
        <v>0.94200000000000006</v>
      </c>
      <c r="AF13" s="59">
        <f t="shared" si="6"/>
        <v>0.70957290132547901</v>
      </c>
      <c r="AG13" s="59">
        <f t="shared" si="7"/>
        <v>0.96440831074977418</v>
      </c>
      <c r="AH13" s="59">
        <f t="shared" si="8"/>
        <v>0.92115000000000014</v>
      </c>
    </row>
    <row r="14" spans="1:34" ht="18" customHeight="1" x14ac:dyDescent="0.3">
      <c r="A14" s="14">
        <v>6275</v>
      </c>
      <c r="B14" s="23" t="s">
        <v>548</v>
      </c>
      <c r="C14" s="14">
        <v>2021</v>
      </c>
      <c r="D14" s="18" t="str">
        <f>VLOOKUP(A14, '전체 목록(n=66)'!C:F, 4, FALSE)</f>
        <v>파키스탄</v>
      </c>
      <c r="E14" s="23">
        <v>140</v>
      </c>
      <c r="F14" s="23" t="s">
        <v>97</v>
      </c>
      <c r="G14" s="23">
        <v>21</v>
      </c>
      <c r="H14" s="23" t="s">
        <v>98</v>
      </c>
      <c r="I14" s="23">
        <v>119</v>
      </c>
      <c r="J14" s="6" t="s">
        <v>56</v>
      </c>
      <c r="K14" s="23" t="s">
        <v>166</v>
      </c>
      <c r="L14" s="19"/>
      <c r="M14" s="19"/>
      <c r="N14" s="19"/>
      <c r="O14" s="19"/>
      <c r="P14" s="19">
        <v>80</v>
      </c>
      <c r="Q14" s="19">
        <v>98</v>
      </c>
      <c r="R14" s="19">
        <v>88.6</v>
      </c>
      <c r="S14" s="19">
        <v>94.8</v>
      </c>
      <c r="T14" s="19"/>
      <c r="U14" s="19"/>
      <c r="V14" s="19"/>
      <c r="W14" s="19"/>
      <c r="X14" s="19"/>
      <c r="Y14" s="19"/>
      <c r="Z14" s="58">
        <f t="shared" si="0"/>
        <v>16.8</v>
      </c>
      <c r="AA14" s="58">
        <f t="shared" si="1"/>
        <v>2.3799999999999955</v>
      </c>
      <c r="AB14" s="58">
        <f t="shared" si="2"/>
        <v>4.1999999999999993</v>
      </c>
      <c r="AC14" s="58">
        <f t="shared" si="3"/>
        <v>116.62</v>
      </c>
      <c r="AD14" s="59">
        <f t="shared" si="4"/>
        <v>0.8</v>
      </c>
      <c r="AE14" s="59">
        <f t="shared" si="5"/>
        <v>0.98000000000000009</v>
      </c>
      <c r="AF14" s="59">
        <f t="shared" si="6"/>
        <v>0.87591240875912435</v>
      </c>
      <c r="AG14" s="59">
        <f t="shared" si="7"/>
        <v>0.96523754345307067</v>
      </c>
      <c r="AH14" s="59">
        <f t="shared" si="8"/>
        <v>0.95300000000000007</v>
      </c>
    </row>
    <row r="15" spans="1:34" ht="18" customHeight="1" x14ac:dyDescent="0.3">
      <c r="A15" s="14">
        <v>6275</v>
      </c>
      <c r="B15" s="23" t="s">
        <v>548</v>
      </c>
      <c r="C15" s="14">
        <v>2021</v>
      </c>
      <c r="D15" s="18" t="str">
        <f>VLOOKUP(A15, '전체 목록(n=66)'!C:F, 4, FALSE)</f>
        <v>파키스탄</v>
      </c>
      <c r="E15" s="23">
        <v>140</v>
      </c>
      <c r="F15" s="23" t="s">
        <v>97</v>
      </c>
      <c r="G15" s="23">
        <v>21</v>
      </c>
      <c r="H15" s="23" t="s">
        <v>98</v>
      </c>
      <c r="I15" s="23">
        <v>119</v>
      </c>
      <c r="J15" s="6" t="s">
        <v>57</v>
      </c>
      <c r="K15" s="23" t="s">
        <v>166</v>
      </c>
      <c r="L15" s="19"/>
      <c r="M15" s="19"/>
      <c r="N15" s="19"/>
      <c r="O15" s="19"/>
      <c r="P15" s="19">
        <v>87.2</v>
      </c>
      <c r="Q15" s="19">
        <v>86.2</v>
      </c>
      <c r="R15" s="19">
        <v>52.8</v>
      </c>
      <c r="S15" s="19">
        <v>96.5</v>
      </c>
      <c r="T15" s="19"/>
      <c r="U15" s="19"/>
      <c r="V15" s="19"/>
      <c r="W15" s="19"/>
      <c r="X15" s="19"/>
      <c r="Y15" s="19"/>
      <c r="Z15" s="58">
        <f t="shared" si="0"/>
        <v>18.312000000000001</v>
      </c>
      <c r="AA15" s="58">
        <f t="shared" si="1"/>
        <v>16.421999999999983</v>
      </c>
      <c r="AB15" s="58">
        <f t="shared" si="2"/>
        <v>2.6879999999999988</v>
      </c>
      <c r="AC15" s="58">
        <f t="shared" si="3"/>
        <v>102.57800000000002</v>
      </c>
      <c r="AD15" s="59">
        <f t="shared" si="4"/>
        <v>0.87200000000000011</v>
      </c>
      <c r="AE15" s="59">
        <f t="shared" si="5"/>
        <v>0.8620000000000001</v>
      </c>
      <c r="AF15" s="59">
        <f t="shared" si="6"/>
        <v>0.52720677146312001</v>
      </c>
      <c r="AG15" s="59">
        <f t="shared" si="7"/>
        <v>0.97446468945338471</v>
      </c>
      <c r="AH15" s="59">
        <f t="shared" si="8"/>
        <v>0.86350000000000016</v>
      </c>
    </row>
    <row r="16" spans="1:34" ht="18" customHeight="1" x14ac:dyDescent="0.3">
      <c r="A16" s="14">
        <v>6275</v>
      </c>
      <c r="B16" s="23" t="s">
        <v>548</v>
      </c>
      <c r="C16" s="14">
        <v>2021</v>
      </c>
      <c r="D16" s="18" t="str">
        <f>VLOOKUP(A16, '전체 목록(n=66)'!C:F, 4, FALSE)</f>
        <v>파키스탄</v>
      </c>
      <c r="E16" s="23">
        <v>140</v>
      </c>
      <c r="F16" s="23" t="s">
        <v>97</v>
      </c>
      <c r="G16" s="23">
        <v>21</v>
      </c>
      <c r="H16" s="23" t="s">
        <v>98</v>
      </c>
      <c r="I16" s="23">
        <v>119</v>
      </c>
      <c r="J16" s="23" t="s">
        <v>39</v>
      </c>
      <c r="K16" s="23" t="s">
        <v>91</v>
      </c>
      <c r="L16" s="19"/>
      <c r="M16" s="19"/>
      <c r="N16" s="19"/>
      <c r="O16" s="19"/>
      <c r="P16" s="19">
        <v>57.2</v>
      </c>
      <c r="Q16" s="19">
        <v>93.5</v>
      </c>
      <c r="R16" s="19">
        <v>70.5</v>
      </c>
      <c r="S16" s="19">
        <v>94</v>
      </c>
      <c r="T16" s="19"/>
      <c r="U16" s="19"/>
      <c r="V16" s="19"/>
      <c r="W16" s="19"/>
      <c r="X16" s="19"/>
      <c r="Y16" s="19"/>
      <c r="Z16" s="58">
        <f t="shared" si="0"/>
        <v>12.012</v>
      </c>
      <c r="AA16" s="58">
        <f t="shared" si="1"/>
        <v>7.7349999999999994</v>
      </c>
      <c r="AB16" s="58">
        <f t="shared" si="2"/>
        <v>8.9879999999999995</v>
      </c>
      <c r="AC16" s="58">
        <f t="shared" si="3"/>
        <v>111.265</v>
      </c>
      <c r="AD16" s="59">
        <f t="shared" si="4"/>
        <v>0.57200000000000006</v>
      </c>
      <c r="AE16" s="59">
        <f t="shared" si="5"/>
        <v>0.93500000000000005</v>
      </c>
      <c r="AF16" s="59">
        <f t="shared" si="6"/>
        <v>0.60829493087557607</v>
      </c>
      <c r="AG16" s="59">
        <f t="shared" si="7"/>
        <v>0.92525758193142793</v>
      </c>
      <c r="AH16" s="59">
        <f t="shared" si="8"/>
        <v>0.88055000000000005</v>
      </c>
    </row>
    <row r="17" spans="1:35" ht="18" customHeight="1" x14ac:dyDescent="0.3">
      <c r="A17" s="14">
        <v>6275</v>
      </c>
      <c r="B17" s="23" t="s">
        <v>548</v>
      </c>
      <c r="C17" s="14">
        <v>2021</v>
      </c>
      <c r="D17" s="18" t="str">
        <f>VLOOKUP(A17, '전체 목록(n=66)'!C:F, 4, FALSE)</f>
        <v>파키스탄</v>
      </c>
      <c r="E17" s="23">
        <v>140</v>
      </c>
      <c r="F17" s="23" t="s">
        <v>97</v>
      </c>
      <c r="G17" s="23">
        <v>21</v>
      </c>
      <c r="H17" s="23" t="s">
        <v>98</v>
      </c>
      <c r="I17" s="23">
        <v>119</v>
      </c>
      <c r="J17" s="6" t="s">
        <v>56</v>
      </c>
      <c r="K17" s="23" t="s">
        <v>91</v>
      </c>
      <c r="L17" s="19"/>
      <c r="M17" s="19"/>
      <c r="N17" s="19"/>
      <c r="O17" s="19"/>
      <c r="P17" s="19">
        <v>87.5</v>
      </c>
      <c r="Q17" s="19">
        <v>99</v>
      </c>
      <c r="R17" s="19">
        <v>90.2</v>
      </c>
      <c r="S17" s="19">
        <v>98.2</v>
      </c>
      <c r="T17" s="19"/>
      <c r="U17" s="19"/>
      <c r="V17" s="19"/>
      <c r="W17" s="19"/>
      <c r="X17" s="19"/>
      <c r="Y17" s="19"/>
      <c r="Z17" s="58">
        <f t="shared" si="0"/>
        <v>18.375</v>
      </c>
      <c r="AA17" s="58">
        <f t="shared" si="1"/>
        <v>1.1899999999999977</v>
      </c>
      <c r="AB17" s="58">
        <f t="shared" si="2"/>
        <v>2.625</v>
      </c>
      <c r="AC17" s="58">
        <f t="shared" si="3"/>
        <v>117.81</v>
      </c>
      <c r="AD17" s="59">
        <f t="shared" ref="AD17:AD78" si="9">Z17/(Z17+AB17)</f>
        <v>0.875</v>
      </c>
      <c r="AE17" s="59">
        <f t="shared" ref="AE17:AE78" si="10">AC17/(AA17+AC17)</f>
        <v>0.99</v>
      </c>
      <c r="AF17" s="59">
        <f t="shared" ref="AF17:AF78" si="11">Z17/(Z17+AA17)</f>
        <v>0.9391771019677998</v>
      </c>
      <c r="AG17" s="59">
        <f t="shared" ref="AG17:AG78" si="12">AC17/(AB17+AC17)</f>
        <v>0.97820401046207495</v>
      </c>
      <c r="AH17" s="59">
        <f t="shared" ref="AH17:AH78" si="13">(Z17+AC17)/(Z17+AA17+AB17+AC17)</f>
        <v>0.97275</v>
      </c>
    </row>
    <row r="18" spans="1:35" ht="18" customHeight="1" x14ac:dyDescent="0.3">
      <c r="A18" s="14">
        <v>6275</v>
      </c>
      <c r="B18" s="23" t="s">
        <v>548</v>
      </c>
      <c r="C18" s="14">
        <v>2021</v>
      </c>
      <c r="D18" s="18" t="str">
        <f>VLOOKUP(A18, '전체 목록(n=66)'!C:F, 4, FALSE)</f>
        <v>파키스탄</v>
      </c>
      <c r="E18" s="23">
        <v>140</v>
      </c>
      <c r="F18" s="23" t="s">
        <v>97</v>
      </c>
      <c r="G18" s="23">
        <v>21</v>
      </c>
      <c r="H18" s="23" t="s">
        <v>98</v>
      </c>
      <c r="I18" s="23">
        <v>119</v>
      </c>
      <c r="J18" s="6" t="s">
        <v>57</v>
      </c>
      <c r="K18" s="23" t="s">
        <v>91</v>
      </c>
      <c r="L18" s="23" t="s">
        <v>91</v>
      </c>
      <c r="M18" s="19"/>
      <c r="N18" s="19"/>
      <c r="O18" s="19"/>
      <c r="P18" s="19">
        <v>95.3</v>
      </c>
      <c r="Q18" s="19">
        <v>87</v>
      </c>
      <c r="R18" s="19">
        <v>59.3</v>
      </c>
      <c r="S18" s="19">
        <v>98.9</v>
      </c>
      <c r="T18" s="19"/>
      <c r="U18" s="19"/>
      <c r="V18" s="19"/>
      <c r="W18" s="19"/>
      <c r="X18" s="19"/>
      <c r="Y18" s="19"/>
      <c r="Z18" s="58">
        <f t="shared" si="0"/>
        <v>20.012999999999998</v>
      </c>
      <c r="AA18" s="58">
        <f t="shared" si="1"/>
        <v>15.469999999999999</v>
      </c>
      <c r="AB18" s="58">
        <f t="shared" si="2"/>
        <v>0.98700000000000188</v>
      </c>
      <c r="AC18" s="58">
        <f t="shared" si="3"/>
        <v>103.53</v>
      </c>
      <c r="AD18" s="59">
        <f t="shared" si="9"/>
        <v>0.95299999999999996</v>
      </c>
      <c r="AE18" s="59">
        <f t="shared" si="10"/>
        <v>0.87</v>
      </c>
      <c r="AF18" s="59">
        <f t="shared" si="11"/>
        <v>0.56401657131584138</v>
      </c>
      <c r="AG18" s="59">
        <f t="shared" si="12"/>
        <v>0.99055656017681337</v>
      </c>
      <c r="AH18" s="59">
        <f t="shared" si="13"/>
        <v>0.88245000000000007</v>
      </c>
    </row>
    <row r="19" spans="1:35" ht="18" customHeight="1" x14ac:dyDescent="0.3">
      <c r="A19" s="41">
        <v>7009</v>
      </c>
      <c r="B19" s="23" t="s">
        <v>549</v>
      </c>
      <c r="C19" s="14">
        <v>2020</v>
      </c>
      <c r="D19" s="18" t="str">
        <f>VLOOKUP(A19, '전체 목록(n=66)'!C:F, 4, FALSE)</f>
        <v>인도네시아</v>
      </c>
      <c r="E19" s="6">
        <v>33</v>
      </c>
      <c r="F19" s="6" t="s">
        <v>97</v>
      </c>
      <c r="G19" s="6">
        <v>19</v>
      </c>
      <c r="H19" s="6" t="s">
        <v>98</v>
      </c>
      <c r="I19" s="6">
        <v>14</v>
      </c>
      <c r="J19" s="23" t="s">
        <v>39</v>
      </c>
      <c r="K19" s="23" t="s">
        <v>514</v>
      </c>
      <c r="L19" s="19"/>
      <c r="M19" s="19"/>
      <c r="N19" s="19"/>
      <c r="O19" s="19"/>
      <c r="P19" s="19">
        <v>78.900000000000006</v>
      </c>
      <c r="Q19" s="19">
        <v>92.9</v>
      </c>
      <c r="R19" s="19">
        <v>93.8</v>
      </c>
      <c r="S19" s="19">
        <v>76.5</v>
      </c>
      <c r="T19" s="19">
        <v>11.052</v>
      </c>
      <c r="U19" s="19">
        <v>0.23</v>
      </c>
      <c r="V19" s="19"/>
      <c r="W19" s="19"/>
      <c r="X19" s="19"/>
      <c r="Y19" s="19"/>
      <c r="Z19" s="58">
        <f t="shared" si="0"/>
        <v>14.991000000000001</v>
      </c>
      <c r="AA19" s="58">
        <f t="shared" si="1"/>
        <v>0.993999999999998</v>
      </c>
      <c r="AB19" s="58">
        <f t="shared" si="2"/>
        <v>4.0089999999999986</v>
      </c>
      <c r="AC19" s="58">
        <f t="shared" si="3"/>
        <v>13.006000000000002</v>
      </c>
      <c r="AD19" s="59">
        <f t="shared" si="9"/>
        <v>0.78900000000000003</v>
      </c>
      <c r="AE19" s="59">
        <f t="shared" si="10"/>
        <v>0.92900000000000016</v>
      </c>
      <c r="AF19" s="59">
        <f t="shared" si="11"/>
        <v>0.93781670315921184</v>
      </c>
      <c r="AG19" s="59">
        <f t="shared" si="12"/>
        <v>0.76438436673523369</v>
      </c>
      <c r="AH19" s="59">
        <f t="shared" si="13"/>
        <v>0.84839393939393948</v>
      </c>
      <c r="AI19" s="19"/>
    </row>
    <row r="20" spans="1:35" ht="18" customHeight="1" x14ac:dyDescent="0.3">
      <c r="A20" s="41">
        <v>7009</v>
      </c>
      <c r="B20" s="23" t="s">
        <v>549</v>
      </c>
      <c r="C20" s="14">
        <v>2020</v>
      </c>
      <c r="D20" s="18" t="str">
        <f>VLOOKUP(A20, '전체 목록(n=66)'!C:F, 4, FALSE)</f>
        <v>인도네시아</v>
      </c>
      <c r="E20" s="6">
        <v>33</v>
      </c>
      <c r="F20" s="6" t="s">
        <v>97</v>
      </c>
      <c r="G20" s="6">
        <v>19</v>
      </c>
      <c r="H20" s="6" t="s">
        <v>98</v>
      </c>
      <c r="I20" s="6">
        <v>14</v>
      </c>
      <c r="J20" s="6" t="s">
        <v>56</v>
      </c>
      <c r="K20" s="23" t="s">
        <v>514</v>
      </c>
      <c r="L20" s="19"/>
      <c r="M20" s="19"/>
      <c r="N20" s="19"/>
      <c r="O20" s="19"/>
      <c r="P20" s="19">
        <v>94.7</v>
      </c>
      <c r="Q20" s="19">
        <v>100</v>
      </c>
      <c r="R20" s="19">
        <v>100</v>
      </c>
      <c r="S20" s="19">
        <v>93.3</v>
      </c>
      <c r="T20" s="19">
        <v>9.2200000000000006</v>
      </c>
      <c r="U20" s="19">
        <v>0.05</v>
      </c>
      <c r="V20" s="19"/>
      <c r="W20" s="19"/>
      <c r="X20" s="19"/>
      <c r="Y20" s="19"/>
      <c r="Z20" s="58">
        <f t="shared" si="0"/>
        <v>17.992999999999999</v>
      </c>
      <c r="AA20" s="58">
        <f t="shared" si="1"/>
        <v>0</v>
      </c>
      <c r="AB20" s="58">
        <f t="shared" si="2"/>
        <v>1.0070000000000014</v>
      </c>
      <c r="AC20" s="58">
        <f t="shared" si="3"/>
        <v>14</v>
      </c>
      <c r="AD20" s="59">
        <f t="shared" si="9"/>
        <v>0.94699999999999995</v>
      </c>
      <c r="AE20" s="59">
        <f t="shared" si="10"/>
        <v>1</v>
      </c>
      <c r="AF20" s="59">
        <f t="shared" si="11"/>
        <v>1</v>
      </c>
      <c r="AG20" s="59">
        <f t="shared" si="12"/>
        <v>0.93289798094222687</v>
      </c>
      <c r="AH20" s="59">
        <f t="shared" si="13"/>
        <v>0.96948484848484839</v>
      </c>
      <c r="AI20" s="19"/>
    </row>
    <row r="21" spans="1:35" ht="18" customHeight="1" x14ac:dyDescent="0.3">
      <c r="A21" s="41">
        <v>7009</v>
      </c>
      <c r="B21" s="23" t="s">
        <v>549</v>
      </c>
      <c r="C21" s="14">
        <v>2020</v>
      </c>
      <c r="D21" s="18" t="str">
        <f>VLOOKUP(A21, '전체 목록(n=66)'!C:F, 4, FALSE)</f>
        <v>인도네시아</v>
      </c>
      <c r="E21" s="6">
        <v>33</v>
      </c>
      <c r="F21" s="6" t="s">
        <v>97</v>
      </c>
      <c r="G21" s="6">
        <v>19</v>
      </c>
      <c r="H21" s="6" t="s">
        <v>98</v>
      </c>
      <c r="I21" s="6">
        <v>14</v>
      </c>
      <c r="J21" s="23" t="s">
        <v>39</v>
      </c>
      <c r="K21" s="23" t="s">
        <v>166</v>
      </c>
      <c r="L21" s="19"/>
      <c r="M21" s="19"/>
      <c r="N21" s="19"/>
      <c r="O21" s="19"/>
      <c r="P21" s="19">
        <v>78.900000000000006</v>
      </c>
      <c r="Q21" s="19">
        <v>92.9</v>
      </c>
      <c r="R21" s="19">
        <v>93.8</v>
      </c>
      <c r="S21" s="19">
        <v>76.5</v>
      </c>
      <c r="T21" s="19">
        <v>11.052</v>
      </c>
      <c r="U21" s="19">
        <v>0.23</v>
      </c>
      <c r="V21" s="19"/>
      <c r="W21" s="19"/>
      <c r="X21" s="19"/>
      <c r="Y21" s="19"/>
      <c r="Z21" s="58">
        <f t="shared" si="0"/>
        <v>14.991000000000001</v>
      </c>
      <c r="AA21" s="58">
        <f t="shared" si="1"/>
        <v>0.993999999999998</v>
      </c>
      <c r="AB21" s="58">
        <f t="shared" si="2"/>
        <v>4.0089999999999986</v>
      </c>
      <c r="AC21" s="58">
        <f t="shared" si="3"/>
        <v>13.006000000000002</v>
      </c>
      <c r="AD21" s="59">
        <f t="shared" si="9"/>
        <v>0.78900000000000003</v>
      </c>
      <c r="AE21" s="59">
        <f t="shared" si="10"/>
        <v>0.92900000000000016</v>
      </c>
      <c r="AF21" s="59">
        <f t="shared" si="11"/>
        <v>0.93781670315921184</v>
      </c>
      <c r="AG21" s="59">
        <f t="shared" si="12"/>
        <v>0.76438436673523369</v>
      </c>
      <c r="AH21" s="59">
        <f t="shared" si="13"/>
        <v>0.84839393939393948</v>
      </c>
      <c r="AI21" s="19"/>
    </row>
    <row r="22" spans="1:35" ht="18" customHeight="1" x14ac:dyDescent="0.3">
      <c r="A22" s="41">
        <v>7009</v>
      </c>
      <c r="B22" s="23" t="s">
        <v>549</v>
      </c>
      <c r="C22" s="14">
        <v>2020</v>
      </c>
      <c r="D22" s="18" t="str">
        <f>VLOOKUP(A22, '전체 목록(n=66)'!C:F, 4, FALSE)</f>
        <v>인도네시아</v>
      </c>
      <c r="E22" s="6">
        <v>33</v>
      </c>
      <c r="F22" s="6" t="s">
        <v>97</v>
      </c>
      <c r="G22" s="6">
        <v>19</v>
      </c>
      <c r="H22" s="6" t="s">
        <v>98</v>
      </c>
      <c r="I22" s="6">
        <v>14</v>
      </c>
      <c r="J22" s="6" t="s">
        <v>56</v>
      </c>
      <c r="K22" s="23" t="s">
        <v>166</v>
      </c>
      <c r="L22" s="19"/>
      <c r="M22" s="19"/>
      <c r="N22" s="19"/>
      <c r="O22" s="19"/>
      <c r="P22" s="19">
        <v>100</v>
      </c>
      <c r="Q22" s="19">
        <v>100</v>
      </c>
      <c r="R22" s="19">
        <v>100</v>
      </c>
      <c r="S22" s="19">
        <v>76.5</v>
      </c>
      <c r="T22" s="19">
        <v>9.1999999999999993</v>
      </c>
      <c r="U22" s="19">
        <v>0</v>
      </c>
      <c r="V22" s="19"/>
      <c r="W22" s="19"/>
      <c r="X22" s="19"/>
      <c r="Y22" s="19"/>
      <c r="Z22" s="58">
        <f t="shared" si="0"/>
        <v>19</v>
      </c>
      <c r="AA22" s="58">
        <f t="shared" si="1"/>
        <v>0</v>
      </c>
      <c r="AB22" s="58">
        <f t="shared" si="2"/>
        <v>0</v>
      </c>
      <c r="AC22" s="58">
        <f t="shared" si="3"/>
        <v>14</v>
      </c>
      <c r="AD22" s="59">
        <f t="shared" si="9"/>
        <v>1</v>
      </c>
      <c r="AE22" s="59">
        <f t="shared" si="10"/>
        <v>1</v>
      </c>
      <c r="AF22" s="59">
        <f t="shared" si="11"/>
        <v>1</v>
      </c>
      <c r="AG22" s="59">
        <f t="shared" si="12"/>
        <v>1</v>
      </c>
      <c r="AH22" s="59">
        <f t="shared" si="13"/>
        <v>1</v>
      </c>
      <c r="AI22" s="19"/>
    </row>
    <row r="23" spans="1:35" ht="18" customHeight="1" x14ac:dyDescent="0.3">
      <c r="A23" s="56">
        <v>555</v>
      </c>
      <c r="B23" s="23" t="s">
        <v>599</v>
      </c>
      <c r="C23" s="14">
        <v>2017</v>
      </c>
      <c r="D23" s="18" t="str">
        <f>VLOOKUP(A23, '전체 목록(n=66)'!C:F, 4, FALSE)</f>
        <v>중국</v>
      </c>
      <c r="E23" s="6">
        <f>G23+I23</f>
        <v>323</v>
      </c>
      <c r="F23" s="6" t="s">
        <v>97</v>
      </c>
      <c r="G23" s="6">
        <v>208</v>
      </c>
      <c r="H23" s="6" t="s">
        <v>98</v>
      </c>
      <c r="I23" s="6">
        <v>115</v>
      </c>
      <c r="J23" s="6" t="s">
        <v>39</v>
      </c>
      <c r="K23" s="6" t="s">
        <v>55</v>
      </c>
      <c r="L23" s="19">
        <v>176</v>
      </c>
      <c r="M23" s="19">
        <v>35</v>
      </c>
      <c r="N23" s="19">
        <v>32</v>
      </c>
      <c r="O23" s="19">
        <v>80</v>
      </c>
      <c r="P23" s="57">
        <f>84.62</f>
        <v>84.62</v>
      </c>
      <c r="Q23" s="57">
        <f>69.57</f>
        <v>69.569999999999993</v>
      </c>
      <c r="R23" s="19"/>
      <c r="S23" s="19"/>
      <c r="T23" s="19"/>
      <c r="U23" s="19"/>
      <c r="V23" s="19"/>
      <c r="W23" s="19"/>
      <c r="X23" s="19"/>
      <c r="Y23" s="19"/>
      <c r="Z23" s="58">
        <f t="shared" si="0"/>
        <v>176.00959999999998</v>
      </c>
      <c r="AA23" s="58">
        <f t="shared" si="1"/>
        <v>34.994500000000002</v>
      </c>
      <c r="AB23" s="58">
        <f t="shared" si="2"/>
        <v>31.990400000000022</v>
      </c>
      <c r="AC23" s="58">
        <f t="shared" si="3"/>
        <v>80.005499999999998</v>
      </c>
      <c r="AD23" s="59">
        <f t="shared" si="9"/>
        <v>0.84619999999999984</v>
      </c>
      <c r="AE23" s="59">
        <f t="shared" si="10"/>
        <v>0.69569999999999999</v>
      </c>
      <c r="AF23" s="59">
        <f t="shared" si="11"/>
        <v>0.83415251172844496</v>
      </c>
      <c r="AG23" s="59">
        <f t="shared" si="12"/>
        <v>0.71436097214273009</v>
      </c>
      <c r="AH23" s="59">
        <f t="shared" si="13"/>
        <v>0.79261640866873051</v>
      </c>
      <c r="AI23" s="19"/>
    </row>
    <row r="24" spans="1:35" ht="18" customHeight="1" x14ac:dyDescent="0.3">
      <c r="A24" s="56">
        <v>555</v>
      </c>
      <c r="B24" s="23" t="s">
        <v>599</v>
      </c>
      <c r="C24" s="14">
        <v>2017</v>
      </c>
      <c r="D24" s="18" t="str">
        <f>VLOOKUP(A24, '전체 목록(n=66)'!C:F, 4, FALSE)</f>
        <v>중국</v>
      </c>
      <c r="E24" s="6">
        <f>G24+I24</f>
        <v>323</v>
      </c>
      <c r="F24" s="6" t="s">
        <v>97</v>
      </c>
      <c r="G24" s="6">
        <v>208</v>
      </c>
      <c r="H24" s="6" t="s">
        <v>98</v>
      </c>
      <c r="I24" s="6">
        <v>115</v>
      </c>
      <c r="J24" s="6" t="s">
        <v>51</v>
      </c>
      <c r="K24" s="6" t="s">
        <v>55</v>
      </c>
      <c r="L24" s="19">
        <v>166</v>
      </c>
      <c r="M24" s="19">
        <v>6</v>
      </c>
      <c r="N24" s="19">
        <v>42</v>
      </c>
      <c r="O24" s="19">
        <v>109</v>
      </c>
      <c r="P24" s="57">
        <f>79.82</f>
        <v>79.819999999999993</v>
      </c>
      <c r="Q24" s="57">
        <f>94.78</f>
        <v>94.78</v>
      </c>
      <c r="R24" s="19"/>
      <c r="S24" s="19"/>
      <c r="T24" s="19"/>
      <c r="U24" s="19"/>
      <c r="V24" s="19"/>
      <c r="W24" s="19"/>
      <c r="X24" s="19"/>
      <c r="Y24" s="19"/>
      <c r="Z24" s="58">
        <f t="shared" si="0"/>
        <v>166.02559999999997</v>
      </c>
      <c r="AA24" s="58">
        <f t="shared" si="1"/>
        <v>6.0029999999999859</v>
      </c>
      <c r="AB24" s="58">
        <f t="shared" si="2"/>
        <v>41.974400000000031</v>
      </c>
      <c r="AC24" s="58">
        <f t="shared" si="3"/>
        <v>108.99700000000001</v>
      </c>
      <c r="AD24" s="59">
        <f t="shared" si="9"/>
        <v>0.7981999999999998</v>
      </c>
      <c r="AE24" s="59">
        <f t="shared" si="10"/>
        <v>0.94780000000000009</v>
      </c>
      <c r="AF24" s="59">
        <f t="shared" si="11"/>
        <v>0.96510463957737269</v>
      </c>
      <c r="AG24" s="59">
        <f t="shared" si="12"/>
        <v>0.72197118129658988</v>
      </c>
      <c r="AH24" s="59">
        <f t="shared" si="13"/>
        <v>0.85146315789473692</v>
      </c>
      <c r="AI24" s="19"/>
    </row>
    <row r="25" spans="1:35" ht="18" customHeight="1" x14ac:dyDescent="0.3">
      <c r="A25" s="41">
        <v>8303</v>
      </c>
      <c r="B25" s="23" t="s">
        <v>550</v>
      </c>
      <c r="C25" s="14">
        <v>2017</v>
      </c>
      <c r="D25" s="18" t="str">
        <f>VLOOKUP(A25, '전체 목록(n=66)'!C:F, 4, FALSE)</f>
        <v>중국</v>
      </c>
      <c r="E25" s="6">
        <v>150</v>
      </c>
      <c r="F25" s="6" t="s">
        <v>61</v>
      </c>
      <c r="G25" s="6">
        <v>50</v>
      </c>
      <c r="H25" s="6" t="s">
        <v>65</v>
      </c>
      <c r="I25" s="6">
        <v>50</v>
      </c>
      <c r="J25" s="23" t="s">
        <v>39</v>
      </c>
      <c r="K25" s="6" t="s">
        <v>168</v>
      </c>
      <c r="L25" s="19"/>
      <c r="M25" s="19"/>
      <c r="N25" s="19"/>
      <c r="O25" s="19"/>
      <c r="P25" s="19">
        <v>65.540000000000006</v>
      </c>
      <c r="Q25" s="19">
        <v>56.24</v>
      </c>
      <c r="R25" s="19"/>
      <c r="S25" s="19"/>
      <c r="T25" s="19"/>
      <c r="U25" s="19"/>
      <c r="V25" s="19"/>
      <c r="W25" s="19"/>
      <c r="X25" s="19"/>
      <c r="Y25" s="19"/>
      <c r="Z25" s="58">
        <f t="shared" si="0"/>
        <v>32.770000000000003</v>
      </c>
      <c r="AA25" s="58">
        <f t="shared" si="1"/>
        <v>21.88</v>
      </c>
      <c r="AB25" s="58">
        <f t="shared" si="2"/>
        <v>17.229999999999997</v>
      </c>
      <c r="AC25" s="58">
        <f t="shared" si="3"/>
        <v>28.12</v>
      </c>
      <c r="AD25" s="59">
        <f t="shared" si="9"/>
        <v>0.65540000000000009</v>
      </c>
      <c r="AE25" s="59">
        <f t="shared" si="10"/>
        <v>0.56240000000000001</v>
      </c>
      <c r="AF25" s="59">
        <f t="shared" si="11"/>
        <v>0.59963403476669719</v>
      </c>
      <c r="AG25" s="59">
        <f t="shared" si="12"/>
        <v>0.62006615214994498</v>
      </c>
      <c r="AH25" s="59">
        <f t="shared" si="13"/>
        <v>0.6089</v>
      </c>
      <c r="AI25" s="19"/>
    </row>
    <row r="26" spans="1:35" ht="18" customHeight="1" x14ac:dyDescent="0.3">
      <c r="A26" s="56">
        <v>8303</v>
      </c>
      <c r="B26" s="23" t="s">
        <v>550</v>
      </c>
      <c r="C26" s="14">
        <v>2017</v>
      </c>
      <c r="D26" s="18" t="str">
        <f>VLOOKUP(A26, '전체 목록(n=66)'!C:F, 4, FALSE)</f>
        <v>중국</v>
      </c>
      <c r="E26" s="6">
        <v>150</v>
      </c>
      <c r="F26" s="6" t="s">
        <v>61</v>
      </c>
      <c r="G26" s="6">
        <v>50</v>
      </c>
      <c r="H26" s="6" t="s">
        <v>65</v>
      </c>
      <c r="I26" s="6">
        <v>50</v>
      </c>
      <c r="J26" s="23" t="s">
        <v>39</v>
      </c>
      <c r="K26" s="6" t="s">
        <v>199</v>
      </c>
      <c r="L26" s="19"/>
      <c r="M26" s="19"/>
      <c r="N26" s="19"/>
      <c r="O26" s="19"/>
      <c r="P26" s="19">
        <v>87.32</v>
      </c>
      <c r="Q26" s="19">
        <v>82.48</v>
      </c>
      <c r="R26" s="19"/>
      <c r="S26" s="19"/>
      <c r="T26" s="19"/>
      <c r="U26" s="19"/>
      <c r="V26" s="19"/>
      <c r="W26" s="19"/>
      <c r="X26" s="19"/>
      <c r="Y26" s="19"/>
      <c r="Z26" s="58">
        <f t="shared" si="0"/>
        <v>43.66</v>
      </c>
      <c r="AA26" s="58">
        <f t="shared" si="1"/>
        <v>8.759999999999998</v>
      </c>
      <c r="AB26" s="58">
        <f t="shared" si="2"/>
        <v>6.3400000000000034</v>
      </c>
      <c r="AC26" s="58">
        <f t="shared" si="3"/>
        <v>41.24</v>
      </c>
      <c r="AD26" s="59">
        <f t="shared" si="9"/>
        <v>0.87319999999999998</v>
      </c>
      <c r="AE26" s="59">
        <f t="shared" si="10"/>
        <v>0.82480000000000009</v>
      </c>
      <c r="AF26" s="59">
        <f t="shared" si="11"/>
        <v>0.83288821060663876</v>
      </c>
      <c r="AG26" s="59">
        <f t="shared" si="12"/>
        <v>0.8667507356031946</v>
      </c>
      <c r="AH26" s="59">
        <f t="shared" si="13"/>
        <v>0.84900000000000009</v>
      </c>
      <c r="AI26" s="19"/>
    </row>
    <row r="27" spans="1:35" ht="18" customHeight="1" x14ac:dyDescent="0.3">
      <c r="A27" s="56">
        <v>8303</v>
      </c>
      <c r="B27" s="23" t="s">
        <v>550</v>
      </c>
      <c r="C27" s="14">
        <v>2017</v>
      </c>
      <c r="D27" s="18" t="str">
        <f>VLOOKUP(A27, '전체 목록(n=66)'!C:F, 4, FALSE)</f>
        <v>중국</v>
      </c>
      <c r="E27" s="6">
        <v>150</v>
      </c>
      <c r="F27" s="6" t="s">
        <v>61</v>
      </c>
      <c r="G27" s="6">
        <v>50</v>
      </c>
      <c r="H27" s="6" t="s">
        <v>65</v>
      </c>
      <c r="I27" s="6">
        <v>50</v>
      </c>
      <c r="J27" s="6" t="s">
        <v>51</v>
      </c>
      <c r="K27" s="6" t="s">
        <v>199</v>
      </c>
      <c r="L27" s="19"/>
      <c r="M27" s="19"/>
      <c r="N27" s="19"/>
      <c r="O27" s="19"/>
      <c r="P27" s="19">
        <v>54.53</v>
      </c>
      <c r="Q27" s="19">
        <v>58.43</v>
      </c>
      <c r="R27" s="19"/>
      <c r="S27" s="19"/>
      <c r="T27" s="19"/>
      <c r="U27" s="19"/>
      <c r="V27" s="19"/>
      <c r="W27" s="19"/>
      <c r="X27" s="19"/>
      <c r="Y27" s="19"/>
      <c r="Z27" s="58">
        <f t="shared" si="0"/>
        <v>27.265000000000001</v>
      </c>
      <c r="AA27" s="58">
        <f t="shared" si="1"/>
        <v>20.785</v>
      </c>
      <c r="AB27" s="58">
        <f t="shared" si="2"/>
        <v>22.734999999999999</v>
      </c>
      <c r="AC27" s="58">
        <f t="shared" si="3"/>
        <v>29.215</v>
      </c>
      <c r="AD27" s="59">
        <f t="shared" si="9"/>
        <v>0.54530000000000001</v>
      </c>
      <c r="AE27" s="59">
        <f t="shared" si="10"/>
        <v>0.58430000000000004</v>
      </c>
      <c r="AF27" s="59">
        <f t="shared" si="11"/>
        <v>0.56742976066597295</v>
      </c>
      <c r="AG27" s="59">
        <f t="shared" si="12"/>
        <v>0.56236766121270454</v>
      </c>
      <c r="AH27" s="59">
        <f t="shared" si="13"/>
        <v>0.56480000000000008</v>
      </c>
      <c r="AI27" s="19"/>
    </row>
    <row r="28" spans="1:35" ht="18" customHeight="1" x14ac:dyDescent="0.3">
      <c r="A28" s="56">
        <v>8303</v>
      </c>
      <c r="B28" s="23" t="s">
        <v>550</v>
      </c>
      <c r="C28" s="14">
        <v>2017</v>
      </c>
      <c r="D28" s="18" t="str">
        <f>VLOOKUP(A28, '전체 목록(n=66)'!C:F, 4, FALSE)</f>
        <v>중국</v>
      </c>
      <c r="E28" s="6">
        <v>150</v>
      </c>
      <c r="F28" s="6" t="s">
        <v>61</v>
      </c>
      <c r="G28" s="6">
        <v>50</v>
      </c>
      <c r="H28" s="6" t="s">
        <v>65</v>
      </c>
      <c r="I28" s="6">
        <v>50</v>
      </c>
      <c r="J28" s="23" t="s">
        <v>39</v>
      </c>
      <c r="K28" s="6" t="s">
        <v>166</v>
      </c>
      <c r="L28" s="19"/>
      <c r="M28" s="19"/>
      <c r="N28" s="19"/>
      <c r="O28" s="19"/>
      <c r="P28" s="19">
        <v>100</v>
      </c>
      <c r="Q28" s="19">
        <v>95.32</v>
      </c>
      <c r="R28" s="19"/>
      <c r="S28" s="19"/>
      <c r="T28" s="19"/>
      <c r="U28" s="19"/>
      <c r="V28" s="19"/>
      <c r="W28" s="19"/>
      <c r="X28" s="19"/>
      <c r="Y28" s="19"/>
      <c r="Z28" s="58">
        <f t="shared" si="0"/>
        <v>50</v>
      </c>
      <c r="AA28" s="58">
        <f t="shared" si="1"/>
        <v>2.3400000000000034</v>
      </c>
      <c r="AB28" s="58">
        <f t="shared" si="2"/>
        <v>0</v>
      </c>
      <c r="AC28" s="58">
        <f t="shared" si="3"/>
        <v>47.66</v>
      </c>
      <c r="AD28" s="59">
        <f t="shared" si="9"/>
        <v>1</v>
      </c>
      <c r="AE28" s="59">
        <f t="shared" si="10"/>
        <v>0.95319999999999994</v>
      </c>
      <c r="AF28" s="59">
        <f t="shared" si="11"/>
        <v>0.95529231944975157</v>
      </c>
      <c r="AG28" s="59">
        <f t="shared" si="12"/>
        <v>1</v>
      </c>
      <c r="AH28" s="59">
        <f t="shared" si="13"/>
        <v>0.97659999999999991</v>
      </c>
      <c r="AI28" s="19"/>
    </row>
    <row r="29" spans="1:35" ht="18" customHeight="1" x14ac:dyDescent="0.3">
      <c r="A29" s="56">
        <v>8303</v>
      </c>
      <c r="B29" s="23" t="s">
        <v>550</v>
      </c>
      <c r="C29" s="14">
        <v>2017</v>
      </c>
      <c r="D29" s="18" t="str">
        <f>VLOOKUP(A29, '전체 목록(n=66)'!C:F, 4, FALSE)</f>
        <v>중국</v>
      </c>
      <c r="E29" s="6">
        <v>150</v>
      </c>
      <c r="F29" s="6" t="s">
        <v>61</v>
      </c>
      <c r="G29" s="6">
        <v>50</v>
      </c>
      <c r="H29" s="6" t="s">
        <v>65</v>
      </c>
      <c r="I29" s="6">
        <v>50</v>
      </c>
      <c r="J29" s="6" t="s">
        <v>51</v>
      </c>
      <c r="K29" s="6" t="s">
        <v>166</v>
      </c>
      <c r="L29" s="19"/>
      <c r="M29" s="19"/>
      <c r="N29" s="19"/>
      <c r="O29" s="19"/>
      <c r="P29" s="19">
        <v>100</v>
      </c>
      <c r="Q29" s="19">
        <v>90.24</v>
      </c>
      <c r="R29" s="19"/>
      <c r="S29" s="19"/>
      <c r="T29" s="19"/>
      <c r="U29" s="19"/>
      <c r="V29" s="19"/>
      <c r="W29" s="19"/>
      <c r="X29" s="19"/>
      <c r="Y29" s="19"/>
      <c r="Z29" s="58">
        <f t="shared" si="0"/>
        <v>50</v>
      </c>
      <c r="AA29" s="58">
        <f t="shared" si="1"/>
        <v>4.8800000000000026</v>
      </c>
      <c r="AB29" s="58">
        <f t="shared" si="2"/>
        <v>0</v>
      </c>
      <c r="AC29" s="58">
        <f t="shared" si="3"/>
        <v>45.12</v>
      </c>
      <c r="AD29" s="59">
        <f t="shared" si="9"/>
        <v>1</v>
      </c>
      <c r="AE29" s="59">
        <f t="shared" si="10"/>
        <v>0.90239999999999998</v>
      </c>
      <c r="AF29" s="59">
        <f t="shared" si="11"/>
        <v>0.91107871720116618</v>
      </c>
      <c r="AG29" s="59">
        <f t="shared" si="12"/>
        <v>1</v>
      </c>
      <c r="AH29" s="59">
        <f t="shared" si="13"/>
        <v>0.95120000000000005</v>
      </c>
      <c r="AI29" s="19"/>
    </row>
    <row r="30" spans="1:35" ht="18" customHeight="1" x14ac:dyDescent="0.3">
      <c r="A30" s="56">
        <v>750</v>
      </c>
      <c r="B30" s="23" t="s">
        <v>552</v>
      </c>
      <c r="C30" s="14">
        <v>2015</v>
      </c>
      <c r="D30" s="18" t="str">
        <f>VLOOKUP(A30, '전체 목록(n=66)'!C:F, 4, FALSE)</f>
        <v>네덜란드</v>
      </c>
      <c r="E30" s="6">
        <v>453</v>
      </c>
      <c r="F30" s="6" t="s">
        <v>195</v>
      </c>
      <c r="G30" s="6">
        <v>149</v>
      </c>
      <c r="H30" s="6" t="s">
        <v>194</v>
      </c>
      <c r="I30" s="6">
        <v>304</v>
      </c>
      <c r="J30" s="6" t="s">
        <v>39</v>
      </c>
      <c r="K30" s="6" t="s">
        <v>55</v>
      </c>
      <c r="L30" s="19"/>
      <c r="M30" s="19"/>
      <c r="N30" s="19"/>
      <c r="O30" s="19"/>
      <c r="P30" s="19">
        <v>59.7</v>
      </c>
      <c r="Q30" s="19">
        <v>76.3</v>
      </c>
      <c r="R30" s="19">
        <v>55.3</v>
      </c>
      <c r="S30" s="19">
        <v>79.5</v>
      </c>
      <c r="T30" s="19"/>
      <c r="U30" s="19"/>
      <c r="V30" s="19"/>
      <c r="W30" s="19">
        <v>0.75</v>
      </c>
      <c r="X30" s="19" t="s">
        <v>72</v>
      </c>
      <c r="Y30" s="19"/>
      <c r="Z30" s="58">
        <f t="shared" si="0"/>
        <v>88.953000000000017</v>
      </c>
      <c r="AA30" s="58">
        <f t="shared" si="1"/>
        <v>72.048000000000002</v>
      </c>
      <c r="AB30" s="58">
        <f t="shared" si="2"/>
        <v>60.046999999999983</v>
      </c>
      <c r="AC30" s="58">
        <f t="shared" si="3"/>
        <v>231.952</v>
      </c>
      <c r="AD30" s="59">
        <f t="shared" si="9"/>
        <v>0.59700000000000009</v>
      </c>
      <c r="AE30" s="59">
        <f t="shared" si="10"/>
        <v>0.76300000000000001</v>
      </c>
      <c r="AF30" s="59">
        <f t="shared" si="11"/>
        <v>0.55249967391506882</v>
      </c>
      <c r="AG30" s="59">
        <f t="shared" si="12"/>
        <v>0.79435888479070138</v>
      </c>
      <c r="AH30" s="59">
        <f t="shared" si="13"/>
        <v>0.70839955849889635</v>
      </c>
      <c r="AI30" s="19"/>
    </row>
    <row r="31" spans="1:35" ht="18" customHeight="1" x14ac:dyDescent="0.3">
      <c r="A31" s="56">
        <v>750</v>
      </c>
      <c r="B31" s="23" t="s">
        <v>552</v>
      </c>
      <c r="C31" s="14">
        <v>2015</v>
      </c>
      <c r="D31" s="18" t="str">
        <f>VLOOKUP(A31, '전체 목록(n=66)'!C:F, 4, FALSE)</f>
        <v>네덜란드</v>
      </c>
      <c r="E31" s="6">
        <v>453</v>
      </c>
      <c r="F31" s="6" t="s">
        <v>195</v>
      </c>
      <c r="G31" s="6">
        <v>149</v>
      </c>
      <c r="H31" s="6" t="s">
        <v>194</v>
      </c>
      <c r="I31" s="6">
        <v>304</v>
      </c>
      <c r="J31" s="6" t="s">
        <v>71</v>
      </c>
      <c r="K31" s="6" t="s">
        <v>55</v>
      </c>
      <c r="L31" s="19"/>
      <c r="M31" s="19"/>
      <c r="N31" s="19"/>
      <c r="O31" s="19"/>
      <c r="P31" s="19">
        <v>71.099999999999994</v>
      </c>
      <c r="Q31" s="19">
        <v>90.1</v>
      </c>
      <c r="R31" s="19">
        <v>77.900000000000006</v>
      </c>
      <c r="S31" s="19">
        <v>86.4</v>
      </c>
      <c r="T31" s="19"/>
      <c r="U31" s="19"/>
      <c r="V31" s="19"/>
      <c r="W31" s="19">
        <v>0.86</v>
      </c>
      <c r="X31" s="19" t="s">
        <v>73</v>
      </c>
      <c r="Y31" s="19"/>
      <c r="Z31" s="58">
        <f t="shared" si="0"/>
        <v>105.93899999999999</v>
      </c>
      <c r="AA31" s="58">
        <f t="shared" si="1"/>
        <v>30.096000000000004</v>
      </c>
      <c r="AB31" s="58">
        <f t="shared" si="2"/>
        <v>43.061000000000007</v>
      </c>
      <c r="AC31" s="58">
        <f t="shared" si="3"/>
        <v>273.904</v>
      </c>
      <c r="AD31" s="59">
        <f t="shared" si="9"/>
        <v>0.71099999999999997</v>
      </c>
      <c r="AE31" s="59">
        <f t="shared" si="10"/>
        <v>0.90100000000000002</v>
      </c>
      <c r="AF31" s="59">
        <f t="shared" si="11"/>
        <v>0.77876281839232542</v>
      </c>
      <c r="AG31" s="59">
        <f t="shared" si="12"/>
        <v>0.86414588361491007</v>
      </c>
      <c r="AH31" s="59">
        <f t="shared" si="13"/>
        <v>0.83850551876379686</v>
      </c>
      <c r="AI31" s="19"/>
    </row>
    <row r="32" spans="1:35" ht="18" customHeight="1" x14ac:dyDescent="0.3">
      <c r="A32" s="56">
        <v>9705</v>
      </c>
      <c r="B32" s="23" t="s">
        <v>554</v>
      </c>
      <c r="C32" s="14">
        <v>2014</v>
      </c>
      <c r="D32" s="18" t="str">
        <f>VLOOKUP(A32, '전체 목록(n=66)'!C:F, 4, FALSE)</f>
        <v>중국</v>
      </c>
      <c r="E32" s="6">
        <v>42</v>
      </c>
      <c r="F32" s="6" t="s">
        <v>97</v>
      </c>
      <c r="G32" s="6">
        <v>42</v>
      </c>
      <c r="H32" s="6" t="s">
        <v>98</v>
      </c>
      <c r="I32" s="6">
        <v>141</v>
      </c>
      <c r="J32" s="23" t="s">
        <v>39</v>
      </c>
      <c r="K32" s="6" t="s">
        <v>167</v>
      </c>
      <c r="L32" s="19"/>
      <c r="M32" s="19"/>
      <c r="N32" s="19"/>
      <c r="O32" s="19"/>
      <c r="P32" s="19">
        <v>24.4</v>
      </c>
      <c r="Q32" s="19">
        <v>82.9</v>
      </c>
      <c r="R32" s="19">
        <v>29.4</v>
      </c>
      <c r="S32" s="19">
        <v>79.099999999999994</v>
      </c>
      <c r="T32" s="19">
        <v>1.4</v>
      </c>
      <c r="U32" s="19">
        <v>0.91</v>
      </c>
      <c r="V32" s="19"/>
      <c r="W32" s="19"/>
      <c r="X32" s="19"/>
      <c r="Y32" s="19"/>
      <c r="Z32" s="58">
        <f t="shared" si="0"/>
        <v>10.247999999999999</v>
      </c>
      <c r="AA32" s="58">
        <f t="shared" si="1"/>
        <v>24.11099999999999</v>
      </c>
      <c r="AB32" s="58">
        <f t="shared" si="2"/>
        <v>31.752000000000002</v>
      </c>
      <c r="AC32" s="58">
        <f t="shared" si="3"/>
        <v>116.88900000000001</v>
      </c>
      <c r="AD32" s="59">
        <f t="shared" si="9"/>
        <v>0.24399999999999999</v>
      </c>
      <c r="AE32" s="59">
        <f t="shared" si="10"/>
        <v>0.82900000000000007</v>
      </c>
      <c r="AF32" s="59">
        <f t="shared" si="11"/>
        <v>0.29826246398323591</v>
      </c>
      <c r="AG32" s="59">
        <f t="shared" si="12"/>
        <v>0.78638464488263671</v>
      </c>
      <c r="AH32" s="59">
        <f t="shared" si="13"/>
        <v>0.69473770491803288</v>
      </c>
      <c r="AI32" s="19"/>
    </row>
    <row r="33" spans="1:35" ht="18" customHeight="1" x14ac:dyDescent="0.3">
      <c r="A33" s="56">
        <v>9705</v>
      </c>
      <c r="B33" s="23" t="s">
        <v>554</v>
      </c>
      <c r="C33" s="14">
        <v>2014</v>
      </c>
      <c r="D33" s="18" t="str">
        <f>VLOOKUP(A33, '전체 목록(n=66)'!C:F, 4, FALSE)</f>
        <v>중국</v>
      </c>
      <c r="E33" s="6">
        <v>42</v>
      </c>
      <c r="F33" s="6" t="s">
        <v>97</v>
      </c>
      <c r="G33" s="6">
        <v>42</v>
      </c>
      <c r="H33" s="6" t="s">
        <v>98</v>
      </c>
      <c r="I33" s="6">
        <v>141</v>
      </c>
      <c r="J33" s="6" t="s">
        <v>51</v>
      </c>
      <c r="K33" s="6" t="s">
        <v>513</v>
      </c>
      <c r="L33" s="19"/>
      <c r="M33" s="19"/>
      <c r="N33" s="19"/>
      <c r="O33" s="19"/>
      <c r="P33" s="19">
        <v>14.3</v>
      </c>
      <c r="Q33" s="19">
        <v>90</v>
      </c>
      <c r="R33" s="19">
        <v>30</v>
      </c>
      <c r="S33" s="19">
        <v>77.900000000000006</v>
      </c>
      <c r="T33" s="19">
        <v>1.4</v>
      </c>
      <c r="U33" s="19">
        <v>0.95</v>
      </c>
      <c r="V33" s="19"/>
      <c r="W33" s="19"/>
      <c r="X33" s="19"/>
      <c r="Y33" s="19"/>
      <c r="Z33" s="58">
        <f t="shared" si="0"/>
        <v>6.0060000000000002</v>
      </c>
      <c r="AA33" s="58">
        <f t="shared" si="1"/>
        <v>14.099999999999994</v>
      </c>
      <c r="AB33" s="58">
        <f t="shared" si="2"/>
        <v>35.994</v>
      </c>
      <c r="AC33" s="58">
        <f t="shared" si="3"/>
        <v>126.9</v>
      </c>
      <c r="AD33" s="59">
        <f t="shared" si="9"/>
        <v>0.14300000000000002</v>
      </c>
      <c r="AE33" s="59">
        <f t="shared" si="10"/>
        <v>0.9</v>
      </c>
      <c r="AF33" s="59">
        <f t="shared" si="11"/>
        <v>0.29871680095493891</v>
      </c>
      <c r="AG33" s="59">
        <f t="shared" si="12"/>
        <v>0.77903421857158639</v>
      </c>
      <c r="AH33" s="59">
        <f t="shared" si="13"/>
        <v>0.72626229508196727</v>
      </c>
      <c r="AI33" s="19"/>
    </row>
    <row r="34" spans="1:35" ht="18" customHeight="1" x14ac:dyDescent="0.3">
      <c r="A34" s="56">
        <v>864</v>
      </c>
      <c r="B34" s="23" t="s">
        <v>553</v>
      </c>
      <c r="C34" s="14">
        <v>2014</v>
      </c>
      <c r="D34" s="18" t="str">
        <f>VLOOKUP(A34, '전체 목록(n=66)'!C:F, 4, FALSE)</f>
        <v>튀르키예</v>
      </c>
      <c r="E34" s="6">
        <v>66</v>
      </c>
      <c r="F34" s="6" t="s">
        <v>195</v>
      </c>
      <c r="G34" s="6">
        <v>36</v>
      </c>
      <c r="H34" s="6" t="s">
        <v>194</v>
      </c>
      <c r="I34" s="6">
        <v>30</v>
      </c>
      <c r="J34" s="23" t="s">
        <v>39</v>
      </c>
      <c r="K34" s="6" t="s">
        <v>55</v>
      </c>
      <c r="L34" s="19"/>
      <c r="M34" s="19"/>
      <c r="N34" s="19"/>
      <c r="O34" s="19"/>
      <c r="P34" s="19">
        <v>30</v>
      </c>
      <c r="Q34" s="19">
        <v>97</v>
      </c>
      <c r="R34" s="19">
        <v>92</v>
      </c>
      <c r="S34" s="19">
        <v>54</v>
      </c>
      <c r="T34" s="19">
        <v>9.17</v>
      </c>
      <c r="U34" s="19">
        <v>0.72</v>
      </c>
      <c r="V34" s="19"/>
      <c r="W34" s="19"/>
      <c r="X34" s="19"/>
      <c r="Y34" s="19"/>
      <c r="Z34" s="58">
        <f t="shared" si="0"/>
        <v>10.8</v>
      </c>
      <c r="AA34" s="58">
        <f t="shared" si="1"/>
        <v>0.89999999999999858</v>
      </c>
      <c r="AB34" s="58">
        <f t="shared" si="2"/>
        <v>25.2</v>
      </c>
      <c r="AC34" s="58">
        <f t="shared" si="3"/>
        <v>29.1</v>
      </c>
      <c r="AD34" s="59">
        <f t="shared" si="9"/>
        <v>0.30000000000000004</v>
      </c>
      <c r="AE34" s="59">
        <f t="shared" si="10"/>
        <v>0.97000000000000008</v>
      </c>
      <c r="AF34" s="59">
        <f t="shared" si="11"/>
        <v>0.92307692307692324</v>
      </c>
      <c r="AG34" s="59">
        <f t="shared" si="12"/>
        <v>0.53591160220994483</v>
      </c>
      <c r="AH34" s="59">
        <f t="shared" si="13"/>
        <v>0.60454545454545461</v>
      </c>
      <c r="AI34" s="19"/>
    </row>
    <row r="35" spans="1:35" ht="18" customHeight="1" x14ac:dyDescent="0.3">
      <c r="A35" s="56">
        <v>864</v>
      </c>
      <c r="B35" s="23" t="s">
        <v>553</v>
      </c>
      <c r="C35" s="14">
        <v>2014</v>
      </c>
      <c r="D35" s="18" t="str">
        <f>VLOOKUP(A35, '전체 목록(n=66)'!C:F, 4, FALSE)</f>
        <v>튀르키예</v>
      </c>
      <c r="E35" s="6">
        <v>66</v>
      </c>
      <c r="F35" s="6" t="s">
        <v>195</v>
      </c>
      <c r="G35" s="6">
        <v>36</v>
      </c>
      <c r="H35" s="6" t="s">
        <v>194</v>
      </c>
      <c r="I35" s="6">
        <v>30</v>
      </c>
      <c r="J35" s="6" t="s">
        <v>51</v>
      </c>
      <c r="K35" s="6" t="s">
        <v>55</v>
      </c>
      <c r="L35" s="19"/>
      <c r="M35" s="19"/>
      <c r="N35" s="19"/>
      <c r="O35" s="19"/>
      <c r="P35" s="19">
        <v>50</v>
      </c>
      <c r="Q35" s="19">
        <v>80</v>
      </c>
      <c r="R35" s="19">
        <v>75</v>
      </c>
      <c r="S35" s="19">
        <v>57</v>
      </c>
      <c r="T35" s="19">
        <v>2.5</v>
      </c>
      <c r="U35" s="19">
        <v>0.62</v>
      </c>
      <c r="V35" s="19"/>
      <c r="W35" s="19"/>
      <c r="X35" s="19"/>
      <c r="Y35" s="19"/>
      <c r="Z35" s="58">
        <f t="shared" si="0"/>
        <v>18</v>
      </c>
      <c r="AA35" s="58">
        <f t="shared" si="1"/>
        <v>6</v>
      </c>
      <c r="AB35" s="58">
        <f t="shared" si="2"/>
        <v>18</v>
      </c>
      <c r="AC35" s="58">
        <f t="shared" si="3"/>
        <v>24</v>
      </c>
      <c r="AD35" s="59">
        <f t="shared" si="9"/>
        <v>0.5</v>
      </c>
      <c r="AE35" s="59">
        <f t="shared" si="10"/>
        <v>0.8</v>
      </c>
      <c r="AF35" s="59">
        <f t="shared" si="11"/>
        <v>0.75</v>
      </c>
      <c r="AG35" s="59">
        <f t="shared" si="12"/>
        <v>0.5714285714285714</v>
      </c>
      <c r="AH35" s="59">
        <f t="shared" si="13"/>
        <v>0.63636363636363635</v>
      </c>
    </row>
    <row r="36" spans="1:35" ht="18" customHeight="1" x14ac:dyDescent="0.3">
      <c r="A36" s="56">
        <v>1284</v>
      </c>
      <c r="B36" s="23" t="s">
        <v>556</v>
      </c>
      <c r="C36" s="14">
        <v>2012</v>
      </c>
      <c r="D36" s="18" t="str">
        <f>VLOOKUP(A36, '전체 목록(n=66)'!C:F, 4, FALSE)</f>
        <v>아일랜드</v>
      </c>
      <c r="E36" s="6">
        <f>G36+I36</f>
        <v>1128</v>
      </c>
      <c r="F36" s="6" t="s">
        <v>97</v>
      </c>
      <c r="G36" s="6">
        <v>117</v>
      </c>
      <c r="H36" s="6" t="s">
        <v>98</v>
      </c>
      <c r="I36" s="6">
        <v>1011</v>
      </c>
      <c r="J36" s="23" t="s">
        <v>39</v>
      </c>
      <c r="K36" s="6" t="s">
        <v>88</v>
      </c>
      <c r="L36" s="19"/>
      <c r="M36" s="19"/>
      <c r="N36" s="19"/>
      <c r="O36" s="19"/>
      <c r="P36" s="19">
        <v>39.299999999999997</v>
      </c>
      <c r="Q36" s="19">
        <v>95.8</v>
      </c>
      <c r="R36" s="19">
        <v>67</v>
      </c>
      <c r="S36" s="19">
        <v>90</v>
      </c>
      <c r="T36" s="19"/>
      <c r="U36" s="19"/>
      <c r="V36" s="19"/>
      <c r="W36" s="19"/>
      <c r="X36" s="19"/>
      <c r="Y36" s="19">
        <v>0.72099999999999997</v>
      </c>
      <c r="Z36" s="58">
        <f t="shared" si="0"/>
        <v>45.980999999999995</v>
      </c>
      <c r="AA36" s="58">
        <f t="shared" si="1"/>
        <v>42.461999999999989</v>
      </c>
      <c r="AB36" s="58">
        <f t="shared" si="2"/>
        <v>71.019000000000005</v>
      </c>
      <c r="AC36" s="58">
        <f t="shared" si="3"/>
        <v>968.53800000000001</v>
      </c>
      <c r="AD36" s="59">
        <f t="shared" si="9"/>
        <v>0.39299999999999996</v>
      </c>
      <c r="AE36" s="59">
        <f t="shared" si="10"/>
        <v>0.95799999999999996</v>
      </c>
      <c r="AF36" s="59">
        <f t="shared" si="11"/>
        <v>0.51989416912587771</v>
      </c>
      <c r="AG36" s="59">
        <f t="shared" si="12"/>
        <v>0.93168339975585757</v>
      </c>
      <c r="AH36" s="59">
        <f t="shared" si="13"/>
        <v>0.89939627659574473</v>
      </c>
    </row>
    <row r="37" spans="1:35" ht="18" customHeight="1" x14ac:dyDescent="0.3">
      <c r="A37" s="56">
        <v>1284</v>
      </c>
      <c r="B37" s="23" t="s">
        <v>556</v>
      </c>
      <c r="C37" s="14">
        <v>2012</v>
      </c>
      <c r="D37" s="18" t="str">
        <f>VLOOKUP(A37, '전체 목록(n=66)'!C:F, 4, FALSE)</f>
        <v>아일랜드</v>
      </c>
      <c r="E37" s="6">
        <v>1128</v>
      </c>
      <c r="F37" s="6" t="s">
        <v>97</v>
      </c>
      <c r="G37" s="6">
        <v>117</v>
      </c>
      <c r="H37" s="6" t="s">
        <v>98</v>
      </c>
      <c r="I37" s="6">
        <v>1011</v>
      </c>
      <c r="J37" s="6" t="s">
        <v>51</v>
      </c>
      <c r="K37" s="6" t="s">
        <v>88</v>
      </c>
      <c r="L37" s="19"/>
      <c r="M37" s="19"/>
      <c r="N37" s="19"/>
      <c r="O37" s="19"/>
      <c r="P37" s="19">
        <v>50</v>
      </c>
      <c r="Q37" s="19">
        <v>93.3</v>
      </c>
      <c r="R37" s="19">
        <v>60</v>
      </c>
      <c r="S37" s="19">
        <v>92</v>
      </c>
      <c r="T37" s="19"/>
      <c r="U37" s="19"/>
      <c r="V37" s="19"/>
      <c r="W37" s="19"/>
      <c r="X37" s="19"/>
      <c r="Y37" s="19">
        <v>0.76200000000000001</v>
      </c>
      <c r="Z37" s="58">
        <f t="shared" si="0"/>
        <v>58.5</v>
      </c>
      <c r="AA37" s="58">
        <f t="shared" si="1"/>
        <v>67.736999999999966</v>
      </c>
      <c r="AB37" s="58">
        <f t="shared" si="2"/>
        <v>58.5</v>
      </c>
      <c r="AC37" s="58">
        <f t="shared" si="3"/>
        <v>943.26300000000003</v>
      </c>
      <c r="AD37" s="59">
        <f t="shared" si="9"/>
        <v>0.5</v>
      </c>
      <c r="AE37" s="59">
        <f t="shared" si="10"/>
        <v>0.93300000000000005</v>
      </c>
      <c r="AF37" s="59">
        <f t="shared" si="11"/>
        <v>0.4634140545165048</v>
      </c>
      <c r="AG37" s="59">
        <f t="shared" si="12"/>
        <v>0.94160295399211191</v>
      </c>
      <c r="AH37" s="59">
        <f t="shared" si="13"/>
        <v>0.88808776595744687</v>
      </c>
    </row>
    <row r="38" spans="1:35" ht="18" customHeight="1" x14ac:dyDescent="0.3">
      <c r="A38" s="56">
        <v>1284</v>
      </c>
      <c r="B38" s="23" t="s">
        <v>556</v>
      </c>
      <c r="C38" s="14">
        <v>2012</v>
      </c>
      <c r="D38" s="18" t="str">
        <f>VLOOKUP(A38, '전체 목록(n=66)'!C:F, 4, FALSE)</f>
        <v>아일랜드</v>
      </c>
      <c r="E38" s="6">
        <v>1128</v>
      </c>
      <c r="F38" s="6" t="s">
        <v>97</v>
      </c>
      <c r="G38" s="6">
        <v>117</v>
      </c>
      <c r="H38" s="6" t="s">
        <v>98</v>
      </c>
      <c r="I38" s="6">
        <v>1011</v>
      </c>
      <c r="J38" s="23" t="s">
        <v>39</v>
      </c>
      <c r="K38" s="6" t="s">
        <v>89</v>
      </c>
      <c r="L38" s="19"/>
      <c r="M38" s="19"/>
      <c r="N38" s="19"/>
      <c r="O38" s="19"/>
      <c r="P38" s="19">
        <v>61.8</v>
      </c>
      <c r="Q38" s="19">
        <v>93.9</v>
      </c>
      <c r="R38" s="19">
        <v>62</v>
      </c>
      <c r="S38" s="19">
        <v>94</v>
      </c>
      <c r="T38" s="19"/>
      <c r="U38" s="19"/>
      <c r="V38" s="19"/>
      <c r="W38" s="19"/>
      <c r="X38" s="19"/>
      <c r="Y38" s="19">
        <v>0.85299999999999998</v>
      </c>
      <c r="Z38" s="58">
        <f t="shared" si="0"/>
        <v>72.305999999999997</v>
      </c>
      <c r="AA38" s="58">
        <f t="shared" si="1"/>
        <v>61.670999999999935</v>
      </c>
      <c r="AB38" s="58">
        <f t="shared" si="2"/>
        <v>44.694000000000003</v>
      </c>
      <c r="AC38" s="58">
        <f t="shared" si="3"/>
        <v>949.32900000000006</v>
      </c>
      <c r="AD38" s="59">
        <f t="shared" si="9"/>
        <v>0.61799999999999999</v>
      </c>
      <c r="AE38" s="59">
        <f t="shared" si="10"/>
        <v>0.93900000000000006</v>
      </c>
      <c r="AF38" s="59">
        <f t="shared" si="11"/>
        <v>0.53968964822320276</v>
      </c>
      <c r="AG38" s="59">
        <f t="shared" si="12"/>
        <v>0.95503725768920844</v>
      </c>
      <c r="AH38" s="59">
        <f t="shared" si="13"/>
        <v>0.90570478723404269</v>
      </c>
    </row>
    <row r="39" spans="1:35" ht="18" customHeight="1" x14ac:dyDescent="0.3">
      <c r="A39" s="56">
        <v>1284</v>
      </c>
      <c r="B39" s="23" t="s">
        <v>556</v>
      </c>
      <c r="C39" s="14">
        <v>2012</v>
      </c>
      <c r="D39" s="18" t="str">
        <f>VLOOKUP(A39, '전체 목록(n=66)'!C:F, 4, FALSE)</f>
        <v>아일랜드</v>
      </c>
      <c r="E39" s="6">
        <v>1128</v>
      </c>
      <c r="F39" s="6" t="s">
        <v>97</v>
      </c>
      <c r="G39" s="6">
        <v>117</v>
      </c>
      <c r="H39" s="6" t="s">
        <v>98</v>
      </c>
      <c r="I39" s="6">
        <v>1011</v>
      </c>
      <c r="J39" s="6" t="s">
        <v>51</v>
      </c>
      <c r="K39" s="6" t="s">
        <v>89</v>
      </c>
      <c r="L39" s="19"/>
      <c r="M39" s="19"/>
      <c r="N39" s="19"/>
      <c r="O39" s="19"/>
      <c r="P39" s="19">
        <v>67.599999999999994</v>
      </c>
      <c r="Q39" s="19">
        <v>94.3</v>
      </c>
      <c r="R39" s="19">
        <v>66</v>
      </c>
      <c r="S39" s="19">
        <v>95</v>
      </c>
      <c r="T39" s="19"/>
      <c r="U39" s="19"/>
      <c r="V39" s="19"/>
      <c r="W39" s="19"/>
      <c r="X39" s="19"/>
      <c r="Y39" s="19">
        <v>0.85099999999999998</v>
      </c>
      <c r="Z39" s="58">
        <f t="shared" si="0"/>
        <v>79.091999999999985</v>
      </c>
      <c r="AA39" s="58">
        <f t="shared" si="1"/>
        <v>57.626999999999953</v>
      </c>
      <c r="AB39" s="58">
        <f t="shared" si="2"/>
        <v>37.908000000000015</v>
      </c>
      <c r="AC39" s="58">
        <f t="shared" si="3"/>
        <v>953.37300000000005</v>
      </c>
      <c r="AD39" s="59">
        <f t="shared" si="9"/>
        <v>0.67599999999999982</v>
      </c>
      <c r="AE39" s="59">
        <f t="shared" si="10"/>
        <v>0.94300000000000006</v>
      </c>
      <c r="AF39" s="59">
        <f t="shared" si="11"/>
        <v>0.57850042788493206</v>
      </c>
      <c r="AG39" s="59">
        <f t="shared" si="12"/>
        <v>0.9617585729979693</v>
      </c>
      <c r="AH39" s="59">
        <f t="shared" si="13"/>
        <v>0.91530585106382989</v>
      </c>
    </row>
    <row r="40" spans="1:35" ht="18" customHeight="1" x14ac:dyDescent="0.3">
      <c r="A40" s="56">
        <v>1284</v>
      </c>
      <c r="B40" s="23" t="s">
        <v>556</v>
      </c>
      <c r="C40" s="14">
        <v>2012</v>
      </c>
      <c r="D40" s="18" t="str">
        <f>VLOOKUP(A40, '전체 목록(n=66)'!C:F, 4, FALSE)</f>
        <v>아일랜드</v>
      </c>
      <c r="E40" s="6">
        <v>1128</v>
      </c>
      <c r="F40" s="6" t="s">
        <v>97</v>
      </c>
      <c r="G40" s="6">
        <v>117</v>
      </c>
      <c r="H40" s="6" t="s">
        <v>98</v>
      </c>
      <c r="I40" s="6">
        <v>1011</v>
      </c>
      <c r="J40" s="23" t="s">
        <v>39</v>
      </c>
      <c r="K40" s="6" t="s">
        <v>90</v>
      </c>
      <c r="L40" s="19"/>
      <c r="M40" s="19"/>
      <c r="N40" s="19"/>
      <c r="O40" s="19"/>
      <c r="P40" s="19">
        <v>65.8</v>
      </c>
      <c r="Q40" s="19">
        <v>96.3</v>
      </c>
      <c r="R40" s="19">
        <v>74</v>
      </c>
      <c r="S40" s="19">
        <v>94</v>
      </c>
      <c r="T40" s="19"/>
      <c r="U40" s="19"/>
      <c r="V40" s="19"/>
      <c r="W40" s="19"/>
      <c r="X40" s="19"/>
      <c r="Y40" s="19">
        <v>0.89600000000000002</v>
      </c>
      <c r="Z40" s="58">
        <f t="shared" si="0"/>
        <v>76.98599999999999</v>
      </c>
      <c r="AA40" s="58">
        <f t="shared" si="1"/>
        <v>37.406999999999925</v>
      </c>
      <c r="AB40" s="58">
        <f t="shared" si="2"/>
        <v>40.01400000000001</v>
      </c>
      <c r="AC40" s="58">
        <f t="shared" si="3"/>
        <v>973.59300000000007</v>
      </c>
      <c r="AD40" s="59">
        <f t="shared" si="9"/>
        <v>0.65799999999999992</v>
      </c>
      <c r="AE40" s="59">
        <f t="shared" si="10"/>
        <v>0.96300000000000008</v>
      </c>
      <c r="AF40" s="59">
        <f t="shared" si="11"/>
        <v>0.67299572526290985</v>
      </c>
      <c r="AG40" s="59">
        <f t="shared" si="12"/>
        <v>0.96052316134359761</v>
      </c>
      <c r="AH40" s="59">
        <f t="shared" si="13"/>
        <v>0.93136436170212777</v>
      </c>
    </row>
    <row r="41" spans="1:35" ht="18" customHeight="1" x14ac:dyDescent="0.3">
      <c r="A41" s="56">
        <v>1284</v>
      </c>
      <c r="B41" s="23" t="s">
        <v>556</v>
      </c>
      <c r="C41" s="14">
        <v>2012</v>
      </c>
      <c r="D41" s="18" t="str">
        <f>VLOOKUP(A41, '전체 목록(n=66)'!C:F, 4, FALSE)</f>
        <v>아일랜드</v>
      </c>
      <c r="E41" s="6">
        <v>1128</v>
      </c>
      <c r="F41" s="6" t="s">
        <v>97</v>
      </c>
      <c r="G41" s="6">
        <v>117</v>
      </c>
      <c r="H41" s="6" t="s">
        <v>98</v>
      </c>
      <c r="I41" s="6">
        <v>1011</v>
      </c>
      <c r="J41" s="6" t="s">
        <v>51</v>
      </c>
      <c r="K41" s="6" t="s">
        <v>90</v>
      </c>
      <c r="L41" s="19"/>
      <c r="M41" s="19"/>
      <c r="N41" s="19"/>
      <c r="O41" s="19"/>
      <c r="P41" s="19">
        <v>81</v>
      </c>
      <c r="Q41" s="19">
        <v>94.2</v>
      </c>
      <c r="R41" s="19">
        <v>70</v>
      </c>
      <c r="S41" s="19">
        <v>97</v>
      </c>
      <c r="T41" s="19"/>
      <c r="U41" s="19"/>
      <c r="V41" s="19"/>
      <c r="W41" s="19"/>
      <c r="X41" s="19"/>
      <c r="Y41" s="19">
        <v>0.90400000000000003</v>
      </c>
      <c r="Z41" s="58">
        <f t="shared" si="0"/>
        <v>94.77</v>
      </c>
      <c r="AA41" s="58">
        <f t="shared" si="1"/>
        <v>58.638000000000034</v>
      </c>
      <c r="AB41" s="58">
        <f t="shared" si="2"/>
        <v>22.230000000000004</v>
      </c>
      <c r="AC41" s="58">
        <f t="shared" si="3"/>
        <v>952.36199999999997</v>
      </c>
      <c r="AD41" s="59">
        <f t="shared" si="9"/>
        <v>0.80999999999999994</v>
      </c>
      <c r="AE41" s="59">
        <f t="shared" si="10"/>
        <v>0.94199999999999995</v>
      </c>
      <c r="AF41" s="59">
        <f t="shared" si="11"/>
        <v>0.61776439299123898</v>
      </c>
      <c r="AG41" s="59">
        <f t="shared" si="12"/>
        <v>0.97719045508274227</v>
      </c>
      <c r="AH41" s="59">
        <f t="shared" si="13"/>
        <v>0.92830851063829789</v>
      </c>
    </row>
    <row r="42" spans="1:35" ht="18" customHeight="1" x14ac:dyDescent="0.3">
      <c r="A42" s="56">
        <v>1284</v>
      </c>
      <c r="B42" s="23" t="s">
        <v>556</v>
      </c>
      <c r="C42" s="14">
        <v>2012</v>
      </c>
      <c r="D42" s="18" t="str">
        <f>VLOOKUP(A42, '전체 목록(n=66)'!C:F, 4, FALSE)</f>
        <v>아일랜드</v>
      </c>
      <c r="E42" s="6">
        <v>1128</v>
      </c>
      <c r="F42" s="6" t="s">
        <v>97</v>
      </c>
      <c r="G42" s="6">
        <v>117</v>
      </c>
      <c r="H42" s="6" t="s">
        <v>98</v>
      </c>
      <c r="I42" s="6">
        <v>1011</v>
      </c>
      <c r="J42" s="23" t="s">
        <v>39</v>
      </c>
      <c r="K42" s="6" t="s">
        <v>91</v>
      </c>
      <c r="L42" s="19"/>
      <c r="M42" s="19"/>
      <c r="N42" s="19"/>
      <c r="O42" s="19"/>
      <c r="P42" s="19">
        <v>50.7</v>
      </c>
      <c r="Q42" s="19">
        <v>95.8</v>
      </c>
      <c r="R42" s="19">
        <v>68</v>
      </c>
      <c r="S42" s="19">
        <v>94</v>
      </c>
      <c r="T42" s="19"/>
      <c r="U42" s="19"/>
      <c r="V42" s="19"/>
      <c r="W42" s="19"/>
      <c r="X42" s="19"/>
      <c r="Y42" s="19">
        <v>0.89500000000000002</v>
      </c>
      <c r="Z42" s="58">
        <f t="shared" si="0"/>
        <v>59.319000000000003</v>
      </c>
      <c r="AA42" s="58">
        <f t="shared" si="1"/>
        <v>42.461999999999989</v>
      </c>
      <c r="AB42" s="58">
        <f t="shared" si="2"/>
        <v>57.680999999999997</v>
      </c>
      <c r="AC42" s="58">
        <f t="shared" si="3"/>
        <v>968.53800000000001</v>
      </c>
      <c r="AD42" s="59">
        <f t="shared" si="9"/>
        <v>0.50700000000000001</v>
      </c>
      <c r="AE42" s="59">
        <f t="shared" si="10"/>
        <v>0.95799999999999996</v>
      </c>
      <c r="AF42" s="59">
        <f t="shared" si="11"/>
        <v>0.5828101512070033</v>
      </c>
      <c r="AG42" s="59">
        <f t="shared" si="12"/>
        <v>0.94379269921917253</v>
      </c>
      <c r="AH42" s="59">
        <f t="shared" si="13"/>
        <v>0.91122074468085101</v>
      </c>
    </row>
    <row r="43" spans="1:35" ht="18" customHeight="1" x14ac:dyDescent="0.3">
      <c r="A43" s="56">
        <v>1284</v>
      </c>
      <c r="B43" s="23" t="s">
        <v>556</v>
      </c>
      <c r="C43" s="14">
        <v>2012</v>
      </c>
      <c r="D43" s="18" t="str">
        <f>VLOOKUP(A43, '전체 목록(n=66)'!C:F, 4, FALSE)</f>
        <v>아일랜드</v>
      </c>
      <c r="E43" s="6">
        <v>1128</v>
      </c>
      <c r="F43" s="6" t="s">
        <v>97</v>
      </c>
      <c r="G43" s="6">
        <v>117</v>
      </c>
      <c r="H43" s="6" t="s">
        <v>98</v>
      </c>
      <c r="I43" s="6">
        <v>1011</v>
      </c>
      <c r="J43" s="6" t="s">
        <v>51</v>
      </c>
      <c r="K43" s="6" t="s">
        <v>91</v>
      </c>
      <c r="L43" s="19"/>
      <c r="M43" s="19"/>
      <c r="N43" s="19"/>
      <c r="O43" s="19"/>
      <c r="P43" s="19">
        <v>95.8</v>
      </c>
      <c r="Q43" s="19">
        <v>94.3</v>
      </c>
      <c r="R43" s="19">
        <v>71</v>
      </c>
      <c r="S43" s="19">
        <v>99</v>
      </c>
      <c r="T43" s="19"/>
      <c r="U43" s="19"/>
      <c r="V43" s="19"/>
      <c r="W43" s="19"/>
      <c r="X43" s="19"/>
      <c r="Y43" s="19">
        <v>0.97799999999999998</v>
      </c>
      <c r="Z43" s="58">
        <f t="shared" si="0"/>
        <v>112.086</v>
      </c>
      <c r="AA43" s="58">
        <f t="shared" si="1"/>
        <v>57.626999999999953</v>
      </c>
      <c r="AB43" s="58">
        <f t="shared" si="2"/>
        <v>4.9140000000000015</v>
      </c>
      <c r="AC43" s="58">
        <f t="shared" si="3"/>
        <v>953.37300000000005</v>
      </c>
      <c r="AD43" s="59">
        <f t="shared" si="9"/>
        <v>0.95799999999999996</v>
      </c>
      <c r="AE43" s="59">
        <f t="shared" si="10"/>
        <v>0.94300000000000006</v>
      </c>
      <c r="AF43" s="59">
        <f t="shared" si="11"/>
        <v>0.66044439730604032</v>
      </c>
      <c r="AG43" s="59">
        <f t="shared" si="12"/>
        <v>0.99487209990326486</v>
      </c>
      <c r="AH43" s="59">
        <f t="shared" si="13"/>
        <v>0.94455585106382989</v>
      </c>
    </row>
    <row r="44" spans="1:35" ht="18" customHeight="1" x14ac:dyDescent="0.3">
      <c r="A44" s="56">
        <v>1284</v>
      </c>
      <c r="B44" s="23" t="s">
        <v>556</v>
      </c>
      <c r="C44" s="14">
        <v>2012</v>
      </c>
      <c r="D44" s="18" t="str">
        <f>VLOOKUP(A44, '전체 목록(n=66)'!C:F, 4, FALSE)</f>
        <v>아일랜드</v>
      </c>
      <c r="E44" s="6">
        <v>1128</v>
      </c>
      <c r="F44" s="6" t="s">
        <v>97</v>
      </c>
      <c r="G44" s="6">
        <v>117</v>
      </c>
      <c r="H44" s="6" t="s">
        <v>98</v>
      </c>
      <c r="I44" s="6">
        <v>1011</v>
      </c>
      <c r="J44" s="23" t="s">
        <v>39</v>
      </c>
      <c r="K44" s="6" t="s">
        <v>92</v>
      </c>
      <c r="L44" s="19"/>
      <c r="M44" s="19"/>
      <c r="N44" s="19"/>
      <c r="O44" s="19"/>
      <c r="P44" s="19">
        <v>38.700000000000003</v>
      </c>
      <c r="Q44" s="19">
        <v>95.9</v>
      </c>
      <c r="R44" s="19">
        <v>67</v>
      </c>
      <c r="S44" s="19">
        <v>88</v>
      </c>
      <c r="T44" s="19"/>
      <c r="U44" s="19"/>
      <c r="V44" s="19"/>
      <c r="W44" s="19"/>
      <c r="X44" s="19"/>
      <c r="Y44" s="19">
        <v>0.76</v>
      </c>
      <c r="Z44" s="58">
        <f t="shared" si="0"/>
        <v>45.279000000000003</v>
      </c>
      <c r="AA44" s="58">
        <f t="shared" si="1"/>
        <v>41.450999999999908</v>
      </c>
      <c r="AB44" s="58">
        <f t="shared" si="2"/>
        <v>71.721000000000004</v>
      </c>
      <c r="AC44" s="58">
        <f t="shared" si="3"/>
        <v>969.54900000000009</v>
      </c>
      <c r="AD44" s="59">
        <f t="shared" si="9"/>
        <v>0.38700000000000001</v>
      </c>
      <c r="AE44" s="59">
        <f t="shared" si="10"/>
        <v>0.95900000000000007</v>
      </c>
      <c r="AF44" s="59">
        <f t="shared" si="11"/>
        <v>0.52206848841231468</v>
      </c>
      <c r="AG44" s="59">
        <f t="shared" si="12"/>
        <v>0.93112161110951064</v>
      </c>
      <c r="AH44" s="59">
        <f t="shared" si="13"/>
        <v>0.89967021276595749</v>
      </c>
    </row>
    <row r="45" spans="1:35" ht="18" customHeight="1" x14ac:dyDescent="0.3">
      <c r="A45" s="56">
        <v>1284</v>
      </c>
      <c r="B45" s="23" t="s">
        <v>556</v>
      </c>
      <c r="C45" s="14">
        <v>2012</v>
      </c>
      <c r="D45" s="18" t="str">
        <f>VLOOKUP(A45, '전체 목록(n=66)'!C:F, 4, FALSE)</f>
        <v>아일랜드</v>
      </c>
      <c r="E45" s="6">
        <v>1128</v>
      </c>
      <c r="F45" s="6" t="s">
        <v>97</v>
      </c>
      <c r="G45" s="6">
        <v>117</v>
      </c>
      <c r="H45" s="6" t="s">
        <v>98</v>
      </c>
      <c r="I45" s="6">
        <v>1011</v>
      </c>
      <c r="J45" s="6" t="s">
        <v>51</v>
      </c>
      <c r="K45" s="6" t="s">
        <v>92</v>
      </c>
      <c r="L45" s="19"/>
      <c r="M45" s="19"/>
      <c r="N45" s="19"/>
      <c r="O45" s="19"/>
      <c r="P45" s="19">
        <v>97.3</v>
      </c>
      <c r="Q45" s="19">
        <v>94.7</v>
      </c>
      <c r="R45" s="19">
        <v>79</v>
      </c>
      <c r="S45" s="19">
        <v>99</v>
      </c>
      <c r="T45" s="19"/>
      <c r="U45" s="19"/>
      <c r="V45" s="19"/>
      <c r="W45" s="19"/>
      <c r="X45" s="19"/>
      <c r="Y45" s="19">
        <v>0.94399999999999995</v>
      </c>
      <c r="Z45" s="58">
        <f t="shared" si="0"/>
        <v>113.84100000000001</v>
      </c>
      <c r="AA45" s="58">
        <f t="shared" si="1"/>
        <v>53.583000000000084</v>
      </c>
      <c r="AB45" s="58">
        <f t="shared" si="2"/>
        <v>3.1589999999999918</v>
      </c>
      <c r="AC45" s="58">
        <f t="shared" si="3"/>
        <v>957.41699999999992</v>
      </c>
      <c r="AD45" s="59">
        <f t="shared" si="9"/>
        <v>0.97300000000000009</v>
      </c>
      <c r="AE45" s="59">
        <f t="shared" si="10"/>
        <v>0.94699999999999995</v>
      </c>
      <c r="AF45" s="59">
        <f t="shared" si="11"/>
        <v>0.67995627866972441</v>
      </c>
      <c r="AG45" s="59">
        <f t="shared" si="12"/>
        <v>0.99671134819108531</v>
      </c>
      <c r="AH45" s="59">
        <f t="shared" si="13"/>
        <v>0.94969680851063809</v>
      </c>
    </row>
    <row r="46" spans="1:35" ht="18" customHeight="1" x14ac:dyDescent="0.3">
      <c r="A46" s="56">
        <v>1284</v>
      </c>
      <c r="B46" s="23" t="s">
        <v>556</v>
      </c>
      <c r="C46" s="14">
        <v>2012</v>
      </c>
      <c r="D46" s="18" t="str">
        <f>VLOOKUP(A46, '전체 목록(n=66)'!C:F, 4, FALSE)</f>
        <v>아일랜드</v>
      </c>
      <c r="E46" s="6">
        <v>1128</v>
      </c>
      <c r="F46" s="6" t="s">
        <v>97</v>
      </c>
      <c r="G46" s="6">
        <v>117</v>
      </c>
      <c r="H46" s="6" t="s">
        <v>98</v>
      </c>
      <c r="I46" s="6">
        <v>1011</v>
      </c>
      <c r="J46" s="23" t="s">
        <v>39</v>
      </c>
      <c r="K46" s="6" t="s">
        <v>93</v>
      </c>
      <c r="L46" s="19"/>
      <c r="M46" s="19"/>
      <c r="N46" s="19"/>
      <c r="O46" s="19"/>
      <c r="P46" s="19">
        <v>21.4</v>
      </c>
      <c r="Q46" s="19">
        <v>96.9</v>
      </c>
      <c r="R46" s="19">
        <v>41</v>
      </c>
      <c r="S46" s="19">
        <v>92</v>
      </c>
      <c r="T46" s="19"/>
      <c r="U46" s="19"/>
      <c r="V46" s="19"/>
      <c r="W46" s="19"/>
      <c r="X46" s="19"/>
      <c r="Y46" s="19">
        <v>0.752</v>
      </c>
      <c r="Z46" s="58">
        <f t="shared" si="0"/>
        <v>25.037999999999997</v>
      </c>
      <c r="AA46" s="58">
        <f t="shared" si="1"/>
        <v>31.340999999999894</v>
      </c>
      <c r="AB46" s="58">
        <f t="shared" si="2"/>
        <v>91.962000000000003</v>
      </c>
      <c r="AC46" s="58">
        <f t="shared" si="3"/>
        <v>979.65900000000011</v>
      </c>
      <c r="AD46" s="59">
        <f t="shared" si="9"/>
        <v>0.21399999999999997</v>
      </c>
      <c r="AE46" s="59">
        <f t="shared" si="10"/>
        <v>0.96900000000000008</v>
      </c>
      <c r="AF46" s="59">
        <f t="shared" si="11"/>
        <v>0.44410152716437051</v>
      </c>
      <c r="AG46" s="59">
        <f t="shared" si="12"/>
        <v>0.91418421251543225</v>
      </c>
      <c r="AH46" s="59">
        <f t="shared" si="13"/>
        <v>0.89068882978723418</v>
      </c>
    </row>
    <row r="47" spans="1:35" ht="18" customHeight="1" x14ac:dyDescent="0.3">
      <c r="A47" s="56">
        <v>1284</v>
      </c>
      <c r="B47" s="23" t="s">
        <v>556</v>
      </c>
      <c r="C47" s="14">
        <v>2012</v>
      </c>
      <c r="D47" s="18" t="str">
        <f>VLOOKUP(A47, '전체 목록(n=66)'!C:F, 4, FALSE)</f>
        <v>아일랜드</v>
      </c>
      <c r="E47" s="6">
        <v>1128</v>
      </c>
      <c r="F47" s="6" t="s">
        <v>97</v>
      </c>
      <c r="G47" s="6">
        <v>117</v>
      </c>
      <c r="H47" s="6" t="s">
        <v>98</v>
      </c>
      <c r="I47" s="6">
        <v>1011</v>
      </c>
      <c r="J47" s="6" t="s">
        <v>51</v>
      </c>
      <c r="K47" s="6" t="s">
        <v>93</v>
      </c>
      <c r="L47" s="19"/>
      <c r="M47" s="19"/>
      <c r="N47" s="19"/>
      <c r="O47" s="19"/>
      <c r="P47" s="19">
        <v>88.1</v>
      </c>
      <c r="Q47" s="19">
        <v>94.3</v>
      </c>
      <c r="R47" s="19">
        <v>61</v>
      </c>
      <c r="S47" s="19">
        <v>99</v>
      </c>
      <c r="T47" s="19"/>
      <c r="U47" s="19"/>
      <c r="V47" s="19"/>
      <c r="W47" s="19"/>
      <c r="X47" s="19"/>
      <c r="Y47" s="19">
        <v>0.94399999999999995</v>
      </c>
      <c r="Z47" s="58">
        <f t="shared" si="0"/>
        <v>103.07699999999998</v>
      </c>
      <c r="AA47" s="58">
        <f t="shared" si="1"/>
        <v>57.626999999999953</v>
      </c>
      <c r="AB47" s="58">
        <f t="shared" si="2"/>
        <v>13.923000000000016</v>
      </c>
      <c r="AC47" s="58">
        <f t="shared" si="3"/>
        <v>953.37300000000005</v>
      </c>
      <c r="AD47" s="59">
        <f t="shared" si="9"/>
        <v>0.88099999999999989</v>
      </c>
      <c r="AE47" s="59">
        <f t="shared" si="10"/>
        <v>0.94300000000000006</v>
      </c>
      <c r="AF47" s="59">
        <f t="shared" si="11"/>
        <v>0.64140905017921157</v>
      </c>
      <c r="AG47" s="59">
        <f t="shared" si="12"/>
        <v>0.98560626736800316</v>
      </c>
      <c r="AH47" s="59">
        <f t="shared" si="13"/>
        <v>0.93656914893617027</v>
      </c>
    </row>
    <row r="48" spans="1:35" ht="18" customHeight="1" x14ac:dyDescent="0.3">
      <c r="A48" s="56">
        <v>11546</v>
      </c>
      <c r="B48" s="23" t="s">
        <v>558</v>
      </c>
      <c r="C48" s="14">
        <v>2012</v>
      </c>
      <c r="D48" s="18" t="str">
        <f>VLOOKUP(A48, '전체 목록(n=66)'!C:F, 4, FALSE)</f>
        <v>이집트</v>
      </c>
      <c r="E48" s="6">
        <v>67</v>
      </c>
      <c r="F48" s="6" t="s">
        <v>97</v>
      </c>
      <c r="G48" s="6">
        <v>22</v>
      </c>
      <c r="H48" s="6" t="s">
        <v>98</v>
      </c>
      <c r="I48" s="6">
        <v>35</v>
      </c>
      <c r="J48" s="23" t="s">
        <v>39</v>
      </c>
      <c r="K48" s="6" t="s">
        <v>88</v>
      </c>
      <c r="L48" s="19"/>
      <c r="M48" s="19"/>
      <c r="N48" s="19"/>
      <c r="O48" s="19"/>
      <c r="P48" s="19">
        <v>72.7</v>
      </c>
      <c r="Q48" s="19">
        <v>88.2</v>
      </c>
      <c r="R48" s="19">
        <v>80</v>
      </c>
      <c r="S48" s="19">
        <v>83.3</v>
      </c>
      <c r="T48" s="19"/>
      <c r="U48" s="19"/>
      <c r="V48" s="19"/>
      <c r="W48" s="19">
        <v>82.1</v>
      </c>
      <c r="X48" s="19"/>
      <c r="Y48" s="19">
        <v>0.81799999999999995</v>
      </c>
      <c r="Z48" s="58">
        <f t="shared" si="0"/>
        <v>15.994000000000002</v>
      </c>
      <c r="AA48" s="58">
        <f t="shared" si="1"/>
        <v>4.129999999999999</v>
      </c>
      <c r="AB48" s="58">
        <f t="shared" si="2"/>
        <v>6.0059999999999985</v>
      </c>
      <c r="AC48" s="58">
        <f t="shared" si="3"/>
        <v>30.87</v>
      </c>
      <c r="AD48" s="59">
        <f t="shared" si="9"/>
        <v>0.72700000000000009</v>
      </c>
      <c r="AE48" s="59">
        <f t="shared" si="10"/>
        <v>0.88200000000000001</v>
      </c>
      <c r="AF48" s="59">
        <f t="shared" si="11"/>
        <v>0.79477241105148078</v>
      </c>
      <c r="AG48" s="59">
        <f t="shared" si="12"/>
        <v>0.83712984054669715</v>
      </c>
      <c r="AH48" s="59">
        <f t="shared" si="13"/>
        <v>0.82217543859649134</v>
      </c>
    </row>
    <row r="49" spans="1:35" ht="18" customHeight="1" x14ac:dyDescent="0.3">
      <c r="A49" s="56">
        <v>11546</v>
      </c>
      <c r="B49" s="23" t="s">
        <v>558</v>
      </c>
      <c r="C49" s="14">
        <v>2012</v>
      </c>
      <c r="D49" s="18" t="str">
        <f>VLOOKUP(A49, '전체 목록(n=66)'!C:F, 4, FALSE)</f>
        <v>이집트</v>
      </c>
      <c r="E49" s="6">
        <v>67</v>
      </c>
      <c r="F49" s="6" t="s">
        <v>97</v>
      </c>
      <c r="G49" s="6">
        <v>22</v>
      </c>
      <c r="H49" s="6" t="s">
        <v>98</v>
      </c>
      <c r="I49" s="6">
        <v>35</v>
      </c>
      <c r="J49" s="6" t="s">
        <v>51</v>
      </c>
      <c r="K49" s="6" t="s">
        <v>88</v>
      </c>
      <c r="L49" s="19"/>
      <c r="M49" s="19"/>
      <c r="N49" s="19"/>
      <c r="O49" s="19"/>
      <c r="P49" s="19">
        <v>81.8</v>
      </c>
      <c r="Q49" s="19">
        <v>76.5</v>
      </c>
      <c r="R49" s="19">
        <v>69.2</v>
      </c>
      <c r="S49" s="19">
        <v>86.7</v>
      </c>
      <c r="T49" s="19"/>
      <c r="U49" s="19"/>
      <c r="V49" s="19"/>
      <c r="W49" s="19">
        <v>78.599999999999994</v>
      </c>
      <c r="X49" s="19"/>
      <c r="Y49" s="19">
        <v>0.76500000000000001</v>
      </c>
      <c r="Z49" s="58">
        <f t="shared" si="0"/>
        <v>17.995999999999999</v>
      </c>
      <c r="AA49" s="58">
        <f t="shared" si="1"/>
        <v>8.2250000000000014</v>
      </c>
      <c r="AB49" s="58">
        <f t="shared" si="2"/>
        <v>4.0040000000000013</v>
      </c>
      <c r="AC49" s="58">
        <f t="shared" si="3"/>
        <v>26.774999999999999</v>
      </c>
      <c r="AD49" s="59">
        <f t="shared" si="9"/>
        <v>0.81799999999999995</v>
      </c>
      <c r="AE49" s="59">
        <f t="shared" si="10"/>
        <v>0.76500000000000001</v>
      </c>
      <c r="AF49" s="59">
        <f t="shared" si="11"/>
        <v>0.68632012509057616</v>
      </c>
      <c r="AG49" s="59">
        <f t="shared" si="12"/>
        <v>0.86991130316124621</v>
      </c>
      <c r="AH49" s="59">
        <f t="shared" si="13"/>
        <v>0.78545614035087719</v>
      </c>
    </row>
    <row r="50" spans="1:35" ht="18" customHeight="1" x14ac:dyDescent="0.3">
      <c r="A50" s="56">
        <v>11546</v>
      </c>
      <c r="B50" s="23" t="s">
        <v>558</v>
      </c>
      <c r="C50" s="14">
        <v>2012</v>
      </c>
      <c r="D50" s="18" t="str">
        <f>VLOOKUP(A50, '전체 목록(n=66)'!C:F, 4, FALSE)</f>
        <v>이집트</v>
      </c>
      <c r="E50" s="6">
        <v>67</v>
      </c>
      <c r="F50" s="6" t="s">
        <v>97</v>
      </c>
      <c r="G50" s="6">
        <v>22</v>
      </c>
      <c r="H50" s="6" t="s">
        <v>98</v>
      </c>
      <c r="I50" s="6">
        <v>35</v>
      </c>
      <c r="J50" s="23" t="s">
        <v>39</v>
      </c>
      <c r="K50" s="6" t="s">
        <v>89</v>
      </c>
      <c r="L50" s="19"/>
      <c r="M50" s="19"/>
      <c r="N50" s="19"/>
      <c r="O50" s="19"/>
      <c r="P50" s="19">
        <v>100</v>
      </c>
      <c r="Q50" s="19">
        <v>88.9</v>
      </c>
      <c r="R50" s="19">
        <v>84.6</v>
      </c>
      <c r="S50" s="19">
        <v>100</v>
      </c>
      <c r="T50" s="19"/>
      <c r="U50" s="19"/>
      <c r="V50" s="19"/>
      <c r="W50" s="19">
        <v>93.1</v>
      </c>
      <c r="X50" s="19"/>
      <c r="Y50" s="19">
        <v>0.97499999999999998</v>
      </c>
      <c r="Z50" s="58">
        <f t="shared" si="0"/>
        <v>22</v>
      </c>
      <c r="AA50" s="58">
        <f t="shared" si="1"/>
        <v>3.8850000000000016</v>
      </c>
      <c r="AB50" s="58">
        <f t="shared" si="2"/>
        <v>0</v>
      </c>
      <c r="AC50" s="58">
        <f t="shared" si="3"/>
        <v>31.114999999999998</v>
      </c>
      <c r="AD50" s="59">
        <f t="shared" si="9"/>
        <v>1</v>
      </c>
      <c r="AE50" s="59">
        <f t="shared" si="10"/>
        <v>0.8889999999999999</v>
      </c>
      <c r="AF50" s="59">
        <f t="shared" si="11"/>
        <v>0.84991307707166308</v>
      </c>
      <c r="AG50" s="59">
        <f t="shared" si="12"/>
        <v>1</v>
      </c>
      <c r="AH50" s="59">
        <f t="shared" si="13"/>
        <v>0.9318421052631578</v>
      </c>
    </row>
    <row r="51" spans="1:35" ht="18" customHeight="1" x14ac:dyDescent="0.3">
      <c r="A51" s="56">
        <v>11546</v>
      </c>
      <c r="B51" s="23" t="s">
        <v>558</v>
      </c>
      <c r="C51" s="14">
        <v>2012</v>
      </c>
      <c r="D51" s="18" t="str">
        <f>VLOOKUP(A51, '전체 목록(n=66)'!C:F, 4, FALSE)</f>
        <v>이집트</v>
      </c>
      <c r="E51" s="6">
        <v>67</v>
      </c>
      <c r="F51" s="6" t="s">
        <v>97</v>
      </c>
      <c r="G51" s="6">
        <v>22</v>
      </c>
      <c r="H51" s="6" t="s">
        <v>98</v>
      </c>
      <c r="I51" s="6">
        <v>35</v>
      </c>
      <c r="J51" s="6" t="s">
        <v>51</v>
      </c>
      <c r="K51" s="6" t="s">
        <v>89</v>
      </c>
      <c r="L51" s="19"/>
      <c r="M51" s="19"/>
      <c r="N51" s="19"/>
      <c r="O51" s="19"/>
      <c r="P51" s="19">
        <v>100</v>
      </c>
      <c r="Q51" s="19">
        <v>77.8</v>
      </c>
      <c r="R51" s="19">
        <v>73.3</v>
      </c>
      <c r="S51" s="19">
        <v>100</v>
      </c>
      <c r="T51" s="19"/>
      <c r="U51" s="19"/>
      <c r="V51" s="19"/>
      <c r="W51" s="19">
        <v>86.2</v>
      </c>
      <c r="X51" s="19"/>
      <c r="Y51" s="19">
        <v>0.97499999999999998</v>
      </c>
      <c r="Z51" s="58">
        <f t="shared" si="0"/>
        <v>22</v>
      </c>
      <c r="AA51" s="58">
        <f t="shared" si="1"/>
        <v>7.77</v>
      </c>
      <c r="AB51" s="58">
        <f t="shared" si="2"/>
        <v>0</v>
      </c>
      <c r="AC51" s="58">
        <f t="shared" si="3"/>
        <v>27.23</v>
      </c>
      <c r="AD51" s="59">
        <f t="shared" si="9"/>
        <v>1</v>
      </c>
      <c r="AE51" s="59">
        <f t="shared" si="10"/>
        <v>0.77800000000000002</v>
      </c>
      <c r="AF51" s="59">
        <f t="shared" si="11"/>
        <v>0.73899899227410148</v>
      </c>
      <c r="AG51" s="59">
        <f t="shared" si="12"/>
        <v>1</v>
      </c>
      <c r="AH51" s="59">
        <f t="shared" si="13"/>
        <v>0.86368421052631583</v>
      </c>
    </row>
    <row r="52" spans="1:35" ht="18" customHeight="1" x14ac:dyDescent="0.3">
      <c r="A52" s="56">
        <v>1227</v>
      </c>
      <c r="B52" s="23" t="s">
        <v>555</v>
      </c>
      <c r="C52" s="14">
        <v>2012</v>
      </c>
      <c r="D52" s="18" t="str">
        <f>VLOOKUP(A52, '전체 목록(n=66)'!C:F, 4, FALSE)</f>
        <v>뉴질랜드</v>
      </c>
      <c r="E52" s="6">
        <v>995</v>
      </c>
      <c r="F52" s="6" t="s">
        <v>195</v>
      </c>
      <c r="G52" s="6">
        <v>321</v>
      </c>
      <c r="H52" s="6" t="s">
        <v>194</v>
      </c>
      <c r="I52" s="6">
        <v>674</v>
      </c>
      <c r="J52" s="23" t="s">
        <v>39</v>
      </c>
      <c r="K52" s="6" t="s">
        <v>302</v>
      </c>
      <c r="L52" s="19"/>
      <c r="M52" s="19"/>
      <c r="N52" s="19"/>
      <c r="O52" s="19"/>
      <c r="P52" s="19">
        <v>72.5</v>
      </c>
      <c r="Q52" s="19">
        <v>68</v>
      </c>
      <c r="R52" s="19"/>
      <c r="S52" s="19"/>
      <c r="T52" s="19"/>
      <c r="U52" s="19"/>
      <c r="V52" s="19"/>
      <c r="W52" s="19"/>
      <c r="X52" s="19"/>
      <c r="Y52" s="19"/>
      <c r="Z52" s="58">
        <f t="shared" si="0"/>
        <v>232.72499999999999</v>
      </c>
      <c r="AA52" s="58">
        <f t="shared" si="1"/>
        <v>215.68</v>
      </c>
      <c r="AB52" s="58">
        <f t="shared" si="2"/>
        <v>88.275000000000006</v>
      </c>
      <c r="AC52" s="58">
        <f t="shared" si="3"/>
        <v>458.32</v>
      </c>
      <c r="AD52" s="59">
        <f t="shared" si="9"/>
        <v>0.72499999999999998</v>
      </c>
      <c r="AE52" s="59">
        <f t="shared" si="10"/>
        <v>0.67999999999999994</v>
      </c>
      <c r="AF52" s="59">
        <f t="shared" si="11"/>
        <v>0.51900625550562551</v>
      </c>
      <c r="AG52" s="59">
        <f t="shared" si="12"/>
        <v>0.83850016922950255</v>
      </c>
      <c r="AH52" s="59">
        <f t="shared" si="13"/>
        <v>0.69451758793969842</v>
      </c>
    </row>
    <row r="53" spans="1:35" ht="18" customHeight="1" x14ac:dyDescent="0.3">
      <c r="A53" s="56">
        <v>1227</v>
      </c>
      <c r="B53" s="23" t="s">
        <v>555</v>
      </c>
      <c r="C53" s="14">
        <v>2012</v>
      </c>
      <c r="D53" s="18" t="str">
        <f>VLOOKUP(A53, '전체 목록(n=66)'!C:F, 4, FALSE)</f>
        <v>뉴질랜드</v>
      </c>
      <c r="E53" s="6">
        <v>995</v>
      </c>
      <c r="F53" s="6" t="s">
        <v>195</v>
      </c>
      <c r="G53" s="6">
        <v>321</v>
      </c>
      <c r="H53" s="6" t="s">
        <v>194</v>
      </c>
      <c r="I53" s="6">
        <v>674</v>
      </c>
      <c r="J53" s="23" t="s">
        <v>174</v>
      </c>
      <c r="K53" s="6" t="s">
        <v>302</v>
      </c>
      <c r="L53" s="19"/>
      <c r="M53" s="19"/>
      <c r="N53" s="19"/>
      <c r="O53" s="19"/>
      <c r="P53" s="19">
        <v>94.5</v>
      </c>
      <c r="Q53" s="19">
        <v>95.7</v>
      </c>
      <c r="R53" s="19"/>
      <c r="S53" s="19"/>
      <c r="T53" s="19"/>
      <c r="U53" s="19"/>
      <c r="V53" s="19"/>
      <c r="W53" s="19"/>
      <c r="X53" s="19"/>
      <c r="Y53" s="19"/>
      <c r="Z53" s="58">
        <f t="shared" si="0"/>
        <v>303.34500000000003</v>
      </c>
      <c r="AA53" s="58">
        <f t="shared" si="1"/>
        <v>28.981999999999971</v>
      </c>
      <c r="AB53" s="58">
        <f t="shared" si="2"/>
        <v>17.654999999999973</v>
      </c>
      <c r="AC53" s="58">
        <f t="shared" si="3"/>
        <v>645.01800000000003</v>
      </c>
      <c r="AD53" s="59">
        <f t="shared" si="9"/>
        <v>0.94500000000000006</v>
      </c>
      <c r="AE53" s="59">
        <f t="shared" si="10"/>
        <v>0.95700000000000007</v>
      </c>
      <c r="AF53" s="59">
        <f t="shared" si="11"/>
        <v>0.9127907151690956</v>
      </c>
      <c r="AG53" s="59">
        <f t="shared" si="12"/>
        <v>0.973357900502963</v>
      </c>
      <c r="AH53" s="59">
        <f t="shared" si="13"/>
        <v>0.95312864321608048</v>
      </c>
    </row>
    <row r="54" spans="1:35" ht="18" customHeight="1" x14ac:dyDescent="0.3">
      <c r="A54" s="56">
        <v>1299</v>
      </c>
      <c r="B54" s="23" t="s">
        <v>600</v>
      </c>
      <c r="C54" s="14">
        <v>2011</v>
      </c>
      <c r="D54" s="18" t="str">
        <f>VLOOKUP(A54, '전체 목록(n=66)'!C:F, 4, FALSE)</f>
        <v>이탈리아</v>
      </c>
      <c r="E54" s="6">
        <v>80</v>
      </c>
      <c r="F54" s="6" t="s">
        <v>106</v>
      </c>
      <c r="G54" s="6">
        <v>34</v>
      </c>
      <c r="H54" s="6" t="s">
        <v>107</v>
      </c>
      <c r="I54" s="6">
        <v>46</v>
      </c>
      <c r="J54" s="6" t="s">
        <v>39</v>
      </c>
      <c r="K54" s="6" t="s">
        <v>55</v>
      </c>
      <c r="L54" s="19"/>
      <c r="M54" s="19"/>
      <c r="N54" s="19"/>
      <c r="O54" s="19"/>
      <c r="P54" s="19">
        <v>44</v>
      </c>
      <c r="Q54" s="19">
        <v>93</v>
      </c>
      <c r="R54" s="19"/>
      <c r="S54" s="19"/>
      <c r="T54" s="19">
        <v>6.8</v>
      </c>
      <c r="U54" s="19">
        <v>0.6</v>
      </c>
      <c r="V54" s="19"/>
      <c r="W54" s="19"/>
      <c r="X54" s="19"/>
      <c r="Y54" s="19"/>
      <c r="Z54" s="58">
        <f t="shared" si="0"/>
        <v>14.96</v>
      </c>
      <c r="AA54" s="58">
        <f t="shared" si="1"/>
        <v>3.2199999999999989</v>
      </c>
      <c r="AB54" s="58">
        <f t="shared" si="2"/>
        <v>19.04</v>
      </c>
      <c r="AC54" s="58">
        <f t="shared" si="3"/>
        <v>42.78</v>
      </c>
      <c r="AD54" s="59">
        <f t="shared" si="9"/>
        <v>0.44</v>
      </c>
      <c r="AE54" s="59">
        <f t="shared" si="10"/>
        <v>0.93</v>
      </c>
      <c r="AF54" s="59">
        <f t="shared" si="11"/>
        <v>0.82288228822882292</v>
      </c>
      <c r="AG54" s="59">
        <f t="shared" si="12"/>
        <v>0.69200905855710126</v>
      </c>
      <c r="AH54" s="59">
        <f t="shared" si="13"/>
        <v>0.72175</v>
      </c>
    </row>
    <row r="55" spans="1:35" ht="18" customHeight="1" x14ac:dyDescent="0.3">
      <c r="A55" s="56">
        <v>1299</v>
      </c>
      <c r="B55" s="23" t="s">
        <v>600</v>
      </c>
      <c r="C55" s="14">
        <v>2011</v>
      </c>
      <c r="D55" s="18" t="str">
        <f>VLOOKUP(A55, '전체 목록(n=66)'!C:F, 4, FALSE)</f>
        <v>이탈리아</v>
      </c>
      <c r="E55" s="6">
        <v>80</v>
      </c>
      <c r="F55" s="6" t="s">
        <v>106</v>
      </c>
      <c r="G55" s="6">
        <v>34</v>
      </c>
      <c r="H55" s="6" t="s">
        <v>107</v>
      </c>
      <c r="I55" s="6">
        <v>46</v>
      </c>
      <c r="J55" s="6" t="s">
        <v>458</v>
      </c>
      <c r="K55" s="6" t="s">
        <v>55</v>
      </c>
      <c r="L55" s="19"/>
      <c r="M55" s="19"/>
      <c r="N55" s="19"/>
      <c r="O55" s="19"/>
      <c r="P55" s="19">
        <v>88</v>
      </c>
      <c r="Q55" s="19">
        <v>76</v>
      </c>
      <c r="R55" s="19"/>
      <c r="S55" s="19"/>
      <c r="T55" s="19">
        <v>3.7</v>
      </c>
      <c r="U55" s="19">
        <v>0.15</v>
      </c>
      <c r="V55" s="19"/>
      <c r="W55" s="19"/>
      <c r="X55" s="19"/>
      <c r="Y55" s="19"/>
      <c r="Z55" s="58">
        <f t="shared" si="0"/>
        <v>29.92</v>
      </c>
      <c r="AA55" s="58">
        <f t="shared" si="1"/>
        <v>11.04</v>
      </c>
      <c r="AB55" s="58">
        <f t="shared" si="2"/>
        <v>4.0799999999999983</v>
      </c>
      <c r="AC55" s="58">
        <f t="shared" si="3"/>
        <v>34.96</v>
      </c>
      <c r="AD55" s="59">
        <f t="shared" si="9"/>
        <v>0.88</v>
      </c>
      <c r="AE55" s="59">
        <f t="shared" si="10"/>
        <v>0.76</v>
      </c>
      <c r="AF55" s="59">
        <f t="shared" si="11"/>
        <v>0.73046875</v>
      </c>
      <c r="AG55" s="59">
        <f t="shared" si="12"/>
        <v>0.8954918032786886</v>
      </c>
      <c r="AH55" s="59">
        <f t="shared" si="13"/>
        <v>0.81099999999999994</v>
      </c>
    </row>
    <row r="56" spans="1:35" ht="18" customHeight="1" x14ac:dyDescent="0.3">
      <c r="A56" s="56">
        <v>1310</v>
      </c>
      <c r="B56" s="23" t="s">
        <v>559</v>
      </c>
      <c r="C56" s="14">
        <v>2011</v>
      </c>
      <c r="D56" s="18" t="str">
        <f>VLOOKUP(A56, '전체 목록(n=66)'!C:F, 4, FALSE)</f>
        <v>중국</v>
      </c>
      <c r="E56" s="6">
        <v>72</v>
      </c>
      <c r="F56" s="6" t="s">
        <v>106</v>
      </c>
      <c r="G56" s="6">
        <v>24</v>
      </c>
      <c r="H56" s="6" t="s">
        <v>107</v>
      </c>
      <c r="I56" s="6">
        <v>48</v>
      </c>
      <c r="J56" s="23" t="s">
        <v>39</v>
      </c>
      <c r="K56" s="6" t="s">
        <v>167</v>
      </c>
      <c r="L56" s="19"/>
      <c r="M56" s="19"/>
      <c r="N56" s="19"/>
      <c r="O56" s="19"/>
      <c r="P56" s="19">
        <v>70.8</v>
      </c>
      <c r="Q56" s="19">
        <v>91.6</v>
      </c>
      <c r="R56" s="19"/>
      <c r="S56" s="19"/>
      <c r="T56" s="19"/>
      <c r="U56" s="19"/>
      <c r="V56" s="19"/>
      <c r="W56" s="19"/>
      <c r="X56" s="19"/>
      <c r="Y56" s="19"/>
      <c r="Z56" s="58">
        <f t="shared" si="0"/>
        <v>16.991999999999997</v>
      </c>
      <c r="AA56" s="58">
        <f t="shared" si="1"/>
        <v>4.0320000000000107</v>
      </c>
      <c r="AB56" s="58">
        <f t="shared" si="2"/>
        <v>7.0080000000000027</v>
      </c>
      <c r="AC56" s="58">
        <f t="shared" si="3"/>
        <v>43.967999999999989</v>
      </c>
      <c r="AD56" s="59">
        <f t="shared" si="9"/>
        <v>0.70799999999999985</v>
      </c>
      <c r="AE56" s="59">
        <f t="shared" si="10"/>
        <v>0.91599999999999981</v>
      </c>
      <c r="AF56" s="59">
        <f t="shared" si="11"/>
        <v>0.80821917808219135</v>
      </c>
      <c r="AG56" s="59">
        <f t="shared" si="12"/>
        <v>0.86252354048964208</v>
      </c>
      <c r="AH56" s="59">
        <f t="shared" si="13"/>
        <v>0.84666666666666646</v>
      </c>
    </row>
    <row r="57" spans="1:35" ht="18" customHeight="1" x14ac:dyDescent="0.3">
      <c r="A57" s="56">
        <v>1310</v>
      </c>
      <c r="B57" s="23" t="s">
        <v>559</v>
      </c>
      <c r="C57" s="14">
        <v>2011</v>
      </c>
      <c r="D57" s="18" t="str">
        <f>VLOOKUP(A57, '전체 목록(n=66)'!C:F, 4, FALSE)</f>
        <v>중국</v>
      </c>
      <c r="E57" s="6">
        <v>72</v>
      </c>
      <c r="F57" s="6" t="s">
        <v>106</v>
      </c>
      <c r="G57" s="6">
        <v>24</v>
      </c>
      <c r="H57" s="6" t="s">
        <v>107</v>
      </c>
      <c r="I57" s="6">
        <v>48</v>
      </c>
      <c r="J57" s="6" t="s">
        <v>95</v>
      </c>
      <c r="K57" s="6" t="s">
        <v>167</v>
      </c>
      <c r="L57" s="19"/>
      <c r="M57" s="19"/>
      <c r="N57" s="19"/>
      <c r="O57" s="19"/>
      <c r="P57" s="19">
        <v>54.1</v>
      </c>
      <c r="Q57" s="19">
        <v>100</v>
      </c>
      <c r="R57" s="19"/>
      <c r="S57" s="19"/>
      <c r="T57" s="19"/>
      <c r="U57" s="19"/>
      <c r="V57" s="19"/>
      <c r="W57" s="19"/>
      <c r="X57" s="19"/>
      <c r="Y57" s="19"/>
      <c r="Z57" s="58">
        <f t="shared" si="0"/>
        <v>12.984000000000002</v>
      </c>
      <c r="AA57" s="58">
        <f t="shared" si="1"/>
        <v>0</v>
      </c>
      <c r="AB57" s="58">
        <f t="shared" si="2"/>
        <v>11.015999999999998</v>
      </c>
      <c r="AC57" s="58">
        <f t="shared" si="3"/>
        <v>48</v>
      </c>
      <c r="AD57" s="59">
        <f t="shared" si="9"/>
        <v>0.54100000000000004</v>
      </c>
      <c r="AE57" s="59">
        <f t="shared" si="10"/>
        <v>1</v>
      </c>
      <c r="AF57" s="59">
        <f t="shared" si="11"/>
        <v>1</v>
      </c>
      <c r="AG57" s="59">
        <f t="shared" si="12"/>
        <v>0.81333875559170399</v>
      </c>
      <c r="AH57" s="59">
        <f t="shared" si="13"/>
        <v>0.84699999999999998</v>
      </c>
    </row>
    <row r="58" spans="1:35" ht="18" customHeight="1" x14ac:dyDescent="0.3">
      <c r="A58" s="56">
        <v>1310</v>
      </c>
      <c r="B58" s="23" t="s">
        <v>559</v>
      </c>
      <c r="C58" s="14">
        <v>2011</v>
      </c>
      <c r="D58" s="18" t="str">
        <f>VLOOKUP(A58, '전체 목록(n=66)'!C:F, 4, FALSE)</f>
        <v>중국</v>
      </c>
      <c r="E58" s="6">
        <v>72</v>
      </c>
      <c r="F58" s="6" t="s">
        <v>106</v>
      </c>
      <c r="G58" s="6">
        <v>24</v>
      </c>
      <c r="H58" s="6" t="s">
        <v>107</v>
      </c>
      <c r="I58" s="6">
        <v>48</v>
      </c>
      <c r="J58" s="23" t="s">
        <v>39</v>
      </c>
      <c r="K58" s="6" t="s">
        <v>199</v>
      </c>
      <c r="L58" s="19"/>
      <c r="M58" s="19"/>
      <c r="N58" s="19"/>
      <c r="O58" s="19"/>
      <c r="P58" s="19">
        <v>87.5</v>
      </c>
      <c r="Q58" s="19">
        <v>89.6</v>
      </c>
      <c r="R58" s="19"/>
      <c r="S58" s="19"/>
      <c r="T58" s="19"/>
      <c r="U58" s="19"/>
      <c r="V58" s="19"/>
      <c r="W58" s="19"/>
      <c r="X58" s="19"/>
      <c r="Y58" s="19"/>
      <c r="Z58" s="58">
        <f t="shared" si="0"/>
        <v>21</v>
      </c>
      <c r="AA58" s="58">
        <f t="shared" si="1"/>
        <v>4.9920000000000044</v>
      </c>
      <c r="AB58" s="58">
        <f t="shared" si="2"/>
        <v>3</v>
      </c>
      <c r="AC58" s="58">
        <f t="shared" si="3"/>
        <v>43.007999999999996</v>
      </c>
      <c r="AD58" s="59">
        <f t="shared" si="9"/>
        <v>0.875</v>
      </c>
      <c r="AE58" s="59">
        <f t="shared" si="10"/>
        <v>0.89599999999999991</v>
      </c>
      <c r="AF58" s="59">
        <f t="shared" si="11"/>
        <v>0.80794090489381332</v>
      </c>
      <c r="AG58" s="59">
        <f t="shared" si="12"/>
        <v>0.9347939488784559</v>
      </c>
      <c r="AH58" s="59">
        <f t="shared" si="13"/>
        <v>0.8889999999999999</v>
      </c>
      <c r="AI58" s="19"/>
    </row>
    <row r="59" spans="1:35" ht="18" customHeight="1" x14ac:dyDescent="0.3">
      <c r="A59" s="56">
        <v>1310</v>
      </c>
      <c r="B59" s="23" t="s">
        <v>559</v>
      </c>
      <c r="C59" s="14">
        <v>2011</v>
      </c>
      <c r="D59" s="18" t="str">
        <f>VLOOKUP(A59, '전체 목록(n=66)'!C:F, 4, FALSE)</f>
        <v>중국</v>
      </c>
      <c r="E59" s="6">
        <v>72</v>
      </c>
      <c r="F59" s="6" t="s">
        <v>106</v>
      </c>
      <c r="G59" s="6">
        <v>24</v>
      </c>
      <c r="H59" s="6" t="s">
        <v>107</v>
      </c>
      <c r="I59" s="6">
        <v>48</v>
      </c>
      <c r="J59" s="6" t="s">
        <v>95</v>
      </c>
      <c r="K59" s="6" t="s">
        <v>199</v>
      </c>
      <c r="L59" s="19"/>
      <c r="M59" s="19"/>
      <c r="N59" s="19"/>
      <c r="O59" s="19"/>
      <c r="P59" s="19">
        <v>100</v>
      </c>
      <c r="Q59" s="19">
        <v>100</v>
      </c>
      <c r="R59" s="19"/>
      <c r="S59" s="19"/>
      <c r="T59" s="19"/>
      <c r="U59" s="19"/>
      <c r="V59" s="19"/>
      <c r="W59" s="19"/>
      <c r="X59" s="19"/>
      <c r="Y59" s="19"/>
      <c r="Z59" s="58">
        <f t="shared" si="0"/>
        <v>24</v>
      </c>
      <c r="AA59" s="58">
        <f t="shared" si="1"/>
        <v>0</v>
      </c>
      <c r="AB59" s="58">
        <f t="shared" si="2"/>
        <v>0</v>
      </c>
      <c r="AC59" s="58">
        <f t="shared" si="3"/>
        <v>48</v>
      </c>
      <c r="AD59" s="59">
        <f t="shared" si="9"/>
        <v>1</v>
      </c>
      <c r="AE59" s="59">
        <f t="shared" si="10"/>
        <v>1</v>
      </c>
      <c r="AF59" s="59">
        <f t="shared" si="11"/>
        <v>1</v>
      </c>
      <c r="AG59" s="59">
        <f t="shared" si="12"/>
        <v>1</v>
      </c>
      <c r="AH59" s="59">
        <f t="shared" si="13"/>
        <v>1</v>
      </c>
      <c r="AI59" s="19"/>
    </row>
    <row r="60" spans="1:35" ht="18" customHeight="1" x14ac:dyDescent="0.3">
      <c r="A60" s="56">
        <v>1342</v>
      </c>
      <c r="B60" s="23" t="s">
        <v>560</v>
      </c>
      <c r="C60" s="14">
        <v>2011</v>
      </c>
      <c r="D60" s="18" t="str">
        <f>VLOOKUP(A60, '전체 목록(n=66)'!C:F, 4, FALSE)</f>
        <v>중국</v>
      </c>
      <c r="E60" s="6">
        <v>200</v>
      </c>
      <c r="F60" s="6" t="s">
        <v>97</v>
      </c>
      <c r="G60" s="6">
        <v>107</v>
      </c>
      <c r="H60" s="6" t="s">
        <v>98</v>
      </c>
      <c r="I60" s="6">
        <v>93</v>
      </c>
      <c r="J60" s="23" t="s">
        <v>39</v>
      </c>
      <c r="K60" s="6" t="s">
        <v>167</v>
      </c>
      <c r="L60" s="19"/>
      <c r="M60" s="19"/>
      <c r="N60" s="19"/>
      <c r="O60" s="19"/>
      <c r="P60" s="19">
        <v>72.900000000000006</v>
      </c>
      <c r="Q60" s="19">
        <v>86</v>
      </c>
      <c r="R60" s="19">
        <v>86.3</v>
      </c>
      <c r="S60" s="19">
        <v>73.900000000000006</v>
      </c>
      <c r="T60" s="19">
        <v>5.21</v>
      </c>
      <c r="U60" s="19">
        <v>0.32</v>
      </c>
      <c r="V60" s="19"/>
      <c r="W60" s="19"/>
      <c r="X60" s="19"/>
      <c r="Y60" s="19"/>
      <c r="Z60" s="58">
        <f t="shared" si="0"/>
        <v>78.003</v>
      </c>
      <c r="AA60" s="58">
        <f t="shared" si="1"/>
        <v>13.019999999999996</v>
      </c>
      <c r="AB60" s="58">
        <f t="shared" si="2"/>
        <v>28.997</v>
      </c>
      <c r="AC60" s="58">
        <f t="shared" si="3"/>
        <v>79.98</v>
      </c>
      <c r="AD60" s="59">
        <f t="shared" si="9"/>
        <v>0.72899999999999998</v>
      </c>
      <c r="AE60" s="59">
        <f t="shared" si="10"/>
        <v>0.8600000000000001</v>
      </c>
      <c r="AF60" s="59">
        <f t="shared" si="11"/>
        <v>0.85695923008470387</v>
      </c>
      <c r="AG60" s="59">
        <f t="shared" si="12"/>
        <v>0.73391633096892006</v>
      </c>
      <c r="AH60" s="59">
        <f t="shared" si="13"/>
        <v>0.78991500000000003</v>
      </c>
      <c r="AI60" s="19"/>
    </row>
    <row r="61" spans="1:35" ht="18" customHeight="1" x14ac:dyDescent="0.3">
      <c r="A61" s="56">
        <v>1342</v>
      </c>
      <c r="B61" s="23" t="s">
        <v>560</v>
      </c>
      <c r="C61" s="14">
        <v>2011</v>
      </c>
      <c r="D61" s="18" t="str">
        <f>VLOOKUP(A61, '전체 목록(n=66)'!C:F, 4, FALSE)</f>
        <v>중국</v>
      </c>
      <c r="E61" s="6">
        <v>200</v>
      </c>
      <c r="F61" s="6" t="s">
        <v>97</v>
      </c>
      <c r="G61" s="6">
        <v>107</v>
      </c>
      <c r="H61" s="6" t="s">
        <v>98</v>
      </c>
      <c r="I61" s="6">
        <v>93</v>
      </c>
      <c r="J61" s="6" t="s">
        <v>95</v>
      </c>
      <c r="K61" s="6" t="s">
        <v>167</v>
      </c>
      <c r="L61" s="19"/>
      <c r="M61" s="19"/>
      <c r="N61" s="19"/>
      <c r="O61" s="19"/>
      <c r="P61" s="19">
        <v>71</v>
      </c>
      <c r="Q61" s="19">
        <v>90.3</v>
      </c>
      <c r="R61" s="19">
        <v>89.4</v>
      </c>
      <c r="S61" s="19">
        <v>73</v>
      </c>
      <c r="T61" s="19">
        <v>7.34</v>
      </c>
      <c r="U61" s="19">
        <v>0.32</v>
      </c>
      <c r="V61" s="19"/>
      <c r="W61" s="19"/>
      <c r="X61" s="19"/>
      <c r="Y61" s="19"/>
      <c r="Z61" s="58">
        <f t="shared" si="0"/>
        <v>75.97</v>
      </c>
      <c r="AA61" s="58">
        <f t="shared" si="1"/>
        <v>9.0210000000000008</v>
      </c>
      <c r="AB61" s="58">
        <f t="shared" si="2"/>
        <v>31.03</v>
      </c>
      <c r="AC61" s="58">
        <f t="shared" si="3"/>
        <v>83.978999999999999</v>
      </c>
      <c r="AD61" s="59">
        <f t="shared" si="9"/>
        <v>0.71</v>
      </c>
      <c r="AE61" s="59">
        <f t="shared" si="10"/>
        <v>0.90300000000000002</v>
      </c>
      <c r="AF61" s="59">
        <f t="shared" si="11"/>
        <v>0.89385934981350967</v>
      </c>
      <c r="AG61" s="59">
        <f t="shared" si="12"/>
        <v>0.73019502821518312</v>
      </c>
      <c r="AH61" s="59">
        <f t="shared" si="13"/>
        <v>0.79974500000000004</v>
      </c>
      <c r="AI61" s="19"/>
    </row>
    <row r="62" spans="1:35" ht="18" customHeight="1" x14ac:dyDescent="0.3">
      <c r="A62" s="15">
        <v>1342</v>
      </c>
      <c r="B62" s="23" t="s">
        <v>560</v>
      </c>
      <c r="C62" s="14">
        <v>2011</v>
      </c>
      <c r="D62" s="18" t="str">
        <f>VLOOKUP(A62, '전체 목록(n=66)'!C:F, 4, FALSE)</f>
        <v>중국</v>
      </c>
      <c r="E62" s="2">
        <v>200</v>
      </c>
      <c r="F62" s="2" t="s">
        <v>97</v>
      </c>
      <c r="G62" s="2">
        <v>107</v>
      </c>
      <c r="H62" s="2" t="s">
        <v>98</v>
      </c>
      <c r="I62" s="2">
        <v>93</v>
      </c>
      <c r="J62" s="23" t="s">
        <v>39</v>
      </c>
      <c r="K62" s="2" t="s">
        <v>168</v>
      </c>
      <c r="P62" s="1">
        <v>84.1</v>
      </c>
      <c r="Q62" s="1">
        <v>78.5</v>
      </c>
      <c r="R62" s="1">
        <v>83.5</v>
      </c>
      <c r="S62" s="1">
        <v>81.7</v>
      </c>
      <c r="T62" s="1">
        <v>3.48</v>
      </c>
      <c r="U62" s="1">
        <v>0.2</v>
      </c>
      <c r="Z62" s="17">
        <f t="shared" si="0"/>
        <v>89.986999999999995</v>
      </c>
      <c r="AA62" s="17">
        <f t="shared" si="1"/>
        <v>19.995000000000005</v>
      </c>
      <c r="AB62" s="17">
        <f t="shared" si="2"/>
        <v>17.013000000000005</v>
      </c>
      <c r="AC62" s="17">
        <f t="shared" si="3"/>
        <v>73.004999999999995</v>
      </c>
      <c r="AD62" s="24">
        <f t="shared" si="9"/>
        <v>0.84099999999999997</v>
      </c>
      <c r="AE62" s="24">
        <f t="shared" si="10"/>
        <v>0.78499999999999992</v>
      </c>
      <c r="AF62" s="24">
        <f t="shared" si="11"/>
        <v>0.81819752323107409</v>
      </c>
      <c r="AG62" s="24">
        <f t="shared" si="12"/>
        <v>0.81100446577351193</v>
      </c>
      <c r="AH62" s="24">
        <f t="shared" si="13"/>
        <v>0.81495999999999991</v>
      </c>
    </row>
    <row r="63" spans="1:35" ht="18" customHeight="1" x14ac:dyDescent="0.3">
      <c r="A63" s="15">
        <v>1342</v>
      </c>
      <c r="B63" s="23" t="s">
        <v>560</v>
      </c>
      <c r="C63" s="14">
        <v>2011</v>
      </c>
      <c r="D63" s="18" t="str">
        <f>VLOOKUP(A63, '전체 목록(n=66)'!C:F, 4, FALSE)</f>
        <v>중국</v>
      </c>
      <c r="E63" s="2">
        <v>200</v>
      </c>
      <c r="F63" s="2" t="s">
        <v>97</v>
      </c>
      <c r="G63" s="2">
        <v>107</v>
      </c>
      <c r="H63" s="2" t="s">
        <v>98</v>
      </c>
      <c r="I63" s="2">
        <v>93</v>
      </c>
      <c r="J63" s="6" t="s">
        <v>95</v>
      </c>
      <c r="K63" s="2" t="s">
        <v>168</v>
      </c>
      <c r="P63" s="1">
        <v>88.8</v>
      </c>
      <c r="Q63" s="1">
        <v>82.8</v>
      </c>
      <c r="R63" s="1">
        <v>85.6</v>
      </c>
      <c r="S63" s="1">
        <v>86.5</v>
      </c>
      <c r="T63" s="1">
        <v>5.16</v>
      </c>
      <c r="U63" s="1">
        <v>0.14000000000000001</v>
      </c>
      <c r="Z63" s="17">
        <f t="shared" si="0"/>
        <v>95.016000000000005</v>
      </c>
      <c r="AA63" s="17">
        <f t="shared" si="1"/>
        <v>15.996000000000009</v>
      </c>
      <c r="AB63" s="17">
        <f t="shared" si="2"/>
        <v>11.983999999999995</v>
      </c>
      <c r="AC63" s="17">
        <f t="shared" si="3"/>
        <v>77.003999999999991</v>
      </c>
      <c r="AD63" s="24">
        <f t="shared" si="9"/>
        <v>0.88800000000000001</v>
      </c>
      <c r="AE63" s="24">
        <f t="shared" si="10"/>
        <v>0.82799999999999985</v>
      </c>
      <c r="AF63" s="24">
        <f t="shared" si="11"/>
        <v>0.85590746946276075</v>
      </c>
      <c r="AG63" s="24">
        <f t="shared" si="12"/>
        <v>0.8653301568750843</v>
      </c>
      <c r="AH63" s="24">
        <f t="shared" si="13"/>
        <v>0.86009999999999986</v>
      </c>
    </row>
    <row r="64" spans="1:35" ht="18" customHeight="1" x14ac:dyDescent="0.3">
      <c r="A64" s="56">
        <v>1393</v>
      </c>
      <c r="B64" s="23" t="s">
        <v>561</v>
      </c>
      <c r="C64" s="14">
        <v>2011</v>
      </c>
      <c r="D64" s="18" t="str">
        <f>VLOOKUP(A64, '전체 목록(n=66)'!C:F, 4, FALSE)</f>
        <v>네덜란드</v>
      </c>
      <c r="E64" s="6">
        <v>137</v>
      </c>
      <c r="F64" s="6" t="s">
        <v>106</v>
      </c>
      <c r="G64" s="6">
        <v>37</v>
      </c>
      <c r="H64" s="6" t="s">
        <v>107</v>
      </c>
      <c r="I64" s="6">
        <v>100</v>
      </c>
      <c r="J64" s="23" t="s">
        <v>39</v>
      </c>
      <c r="K64" s="6" t="s">
        <v>167</v>
      </c>
      <c r="L64" s="19"/>
      <c r="M64" s="19"/>
      <c r="N64" s="19"/>
      <c r="O64" s="19"/>
      <c r="P64" s="19">
        <f>0.32*100</f>
        <v>32</v>
      </c>
      <c r="Q64" s="19">
        <f>0.97*100</f>
        <v>97</v>
      </c>
      <c r="R64" s="19">
        <f>0.75*100</f>
        <v>75</v>
      </c>
      <c r="S64" s="19">
        <f>0.83*100</f>
        <v>83</v>
      </c>
      <c r="T64" s="19"/>
      <c r="U64" s="19"/>
      <c r="V64" s="19"/>
      <c r="W64" s="19"/>
      <c r="X64" s="19"/>
      <c r="Y64" s="19"/>
      <c r="Z64" s="58">
        <f t="shared" si="0"/>
        <v>11.84</v>
      </c>
      <c r="AA64" s="58">
        <f t="shared" si="1"/>
        <v>3</v>
      </c>
      <c r="AB64" s="58">
        <f t="shared" si="2"/>
        <v>25.16</v>
      </c>
      <c r="AC64" s="58">
        <f t="shared" si="3"/>
        <v>97</v>
      </c>
      <c r="AD64" s="59">
        <f t="shared" si="9"/>
        <v>0.32</v>
      </c>
      <c r="AE64" s="59">
        <f t="shared" si="10"/>
        <v>0.97</v>
      </c>
      <c r="AF64" s="71">
        <f t="shared" si="11"/>
        <v>0.7978436657681941</v>
      </c>
      <c r="AG64" s="71">
        <f t="shared" si="12"/>
        <v>0.79404060248853969</v>
      </c>
      <c r="AH64" s="24">
        <f t="shared" si="13"/>
        <v>0.79445255474452559</v>
      </c>
    </row>
    <row r="65" spans="1:35" ht="18" customHeight="1" x14ac:dyDescent="0.3">
      <c r="A65" s="56">
        <v>1393</v>
      </c>
      <c r="B65" s="23" t="s">
        <v>561</v>
      </c>
      <c r="C65" s="14">
        <v>2011</v>
      </c>
      <c r="D65" s="18" t="str">
        <f>VLOOKUP(A65, '전체 목록(n=66)'!C:F, 4, FALSE)</f>
        <v>네덜란드</v>
      </c>
      <c r="E65" s="6">
        <v>137</v>
      </c>
      <c r="F65" s="6" t="s">
        <v>106</v>
      </c>
      <c r="G65" s="6">
        <v>37</v>
      </c>
      <c r="H65" s="6" t="s">
        <v>107</v>
      </c>
      <c r="I65" s="6">
        <v>100</v>
      </c>
      <c r="J65" s="6" t="s">
        <v>174</v>
      </c>
      <c r="K65" s="6" t="s">
        <v>167</v>
      </c>
      <c r="L65" s="19"/>
      <c r="M65" s="19"/>
      <c r="N65" s="19"/>
      <c r="O65" s="19"/>
      <c r="P65" s="19">
        <f>0.7*100</f>
        <v>70</v>
      </c>
      <c r="Q65" s="19">
        <f>1*100</f>
        <v>100</v>
      </c>
      <c r="R65" s="19">
        <f>1*100</f>
        <v>100</v>
      </c>
      <c r="S65" s="19">
        <f>0.92*100</f>
        <v>92</v>
      </c>
      <c r="T65" s="19"/>
      <c r="U65" s="19"/>
      <c r="V65" s="19"/>
      <c r="W65" s="19"/>
      <c r="X65" s="19"/>
      <c r="Y65" s="19"/>
      <c r="Z65" s="58">
        <f t="shared" si="0"/>
        <v>25.9</v>
      </c>
      <c r="AA65" s="58">
        <f t="shared" si="1"/>
        <v>0</v>
      </c>
      <c r="AB65" s="58">
        <f t="shared" si="2"/>
        <v>11.100000000000001</v>
      </c>
      <c r="AC65" s="58">
        <f t="shared" si="3"/>
        <v>100</v>
      </c>
      <c r="AD65" s="59">
        <f t="shared" si="9"/>
        <v>0.7</v>
      </c>
      <c r="AE65" s="59">
        <f t="shared" si="10"/>
        <v>1</v>
      </c>
      <c r="AF65" s="59">
        <f t="shared" si="11"/>
        <v>1</v>
      </c>
      <c r="AG65" s="59">
        <f t="shared" si="12"/>
        <v>0.90009000900090008</v>
      </c>
      <c r="AH65" s="24">
        <f t="shared" si="13"/>
        <v>0.91897810218978104</v>
      </c>
    </row>
    <row r="66" spans="1:35" ht="18" customHeight="1" x14ac:dyDescent="0.3">
      <c r="A66" s="56">
        <v>1393</v>
      </c>
      <c r="B66" s="23" t="s">
        <v>561</v>
      </c>
      <c r="C66" s="14">
        <v>2011</v>
      </c>
      <c r="D66" s="18" t="str">
        <f>VLOOKUP(A66, '전체 목록(n=66)'!C:F, 4, FALSE)</f>
        <v>네덜란드</v>
      </c>
      <c r="E66" s="6">
        <v>137</v>
      </c>
      <c r="F66" s="6" t="s">
        <v>106</v>
      </c>
      <c r="G66" s="6">
        <v>37</v>
      </c>
      <c r="H66" s="6" t="s">
        <v>107</v>
      </c>
      <c r="I66" s="6">
        <v>100</v>
      </c>
      <c r="J66" s="23" t="s">
        <v>39</v>
      </c>
      <c r="K66" s="6" t="s">
        <v>168</v>
      </c>
      <c r="L66" s="19"/>
      <c r="M66" s="19"/>
      <c r="N66" s="19"/>
      <c r="O66" s="19"/>
      <c r="P66" s="19">
        <v>50</v>
      </c>
      <c r="Q66" s="19">
        <v>92</v>
      </c>
      <c r="R66" s="19">
        <v>67</v>
      </c>
      <c r="S66" s="19">
        <v>85</v>
      </c>
      <c r="T66" s="19"/>
      <c r="U66" s="19"/>
      <c r="V66" s="19"/>
      <c r="W66" s="19"/>
      <c r="X66" s="19"/>
      <c r="Y66" s="19"/>
      <c r="Z66" s="58">
        <f t="shared" si="0"/>
        <v>18.5</v>
      </c>
      <c r="AA66" s="58">
        <f t="shared" si="1"/>
        <v>8</v>
      </c>
      <c r="AB66" s="58">
        <f t="shared" si="2"/>
        <v>18.5</v>
      </c>
      <c r="AC66" s="58">
        <f t="shared" si="3"/>
        <v>92</v>
      </c>
      <c r="AD66" s="59">
        <f t="shared" si="9"/>
        <v>0.5</v>
      </c>
      <c r="AE66" s="59">
        <f t="shared" si="10"/>
        <v>0.92</v>
      </c>
      <c r="AF66" s="24">
        <f t="shared" si="11"/>
        <v>0.69811320754716977</v>
      </c>
      <c r="AG66" s="24">
        <f t="shared" si="12"/>
        <v>0.83257918552036203</v>
      </c>
      <c r="AH66" s="24">
        <f t="shared" si="13"/>
        <v>0.80656934306569339</v>
      </c>
    </row>
    <row r="67" spans="1:35" ht="18" customHeight="1" x14ac:dyDescent="0.3">
      <c r="A67" s="56">
        <v>1393</v>
      </c>
      <c r="B67" s="23" t="s">
        <v>561</v>
      </c>
      <c r="C67" s="14">
        <v>2011</v>
      </c>
      <c r="D67" s="18" t="str">
        <f>VLOOKUP(A67, '전체 목록(n=66)'!C:F, 4, FALSE)</f>
        <v>네덜란드</v>
      </c>
      <c r="E67" s="6">
        <v>137</v>
      </c>
      <c r="F67" s="6" t="s">
        <v>106</v>
      </c>
      <c r="G67" s="6">
        <v>37</v>
      </c>
      <c r="H67" s="6" t="s">
        <v>107</v>
      </c>
      <c r="I67" s="6">
        <v>100</v>
      </c>
      <c r="J67" s="6" t="s">
        <v>174</v>
      </c>
      <c r="K67" s="6" t="s">
        <v>168</v>
      </c>
      <c r="L67" s="19"/>
      <c r="M67" s="19"/>
      <c r="N67" s="19"/>
      <c r="O67" s="19"/>
      <c r="P67" s="19">
        <v>87</v>
      </c>
      <c r="Q67" s="19">
        <v>100</v>
      </c>
      <c r="R67" s="19">
        <v>100</v>
      </c>
      <c r="S67" s="19">
        <v>96</v>
      </c>
      <c r="T67" s="19"/>
      <c r="U67" s="19"/>
      <c r="V67" s="19"/>
      <c r="W67" s="19"/>
      <c r="X67" s="19"/>
      <c r="Y67" s="19"/>
      <c r="Z67" s="58">
        <f t="shared" si="0"/>
        <v>32.19</v>
      </c>
      <c r="AA67" s="58">
        <f t="shared" si="1"/>
        <v>0</v>
      </c>
      <c r="AB67" s="58">
        <f t="shared" si="2"/>
        <v>4.8100000000000023</v>
      </c>
      <c r="AC67" s="58">
        <f t="shared" si="3"/>
        <v>100</v>
      </c>
      <c r="AD67" s="59">
        <f t="shared" si="9"/>
        <v>0.86999999999999988</v>
      </c>
      <c r="AE67" s="59">
        <f t="shared" si="10"/>
        <v>1</v>
      </c>
      <c r="AF67" s="24">
        <f t="shared" si="11"/>
        <v>1</v>
      </c>
      <c r="AG67" s="24">
        <f t="shared" si="12"/>
        <v>0.95410743249689911</v>
      </c>
      <c r="AH67" s="24">
        <f t="shared" si="13"/>
        <v>0.9648905109489051</v>
      </c>
    </row>
    <row r="68" spans="1:35" ht="18" customHeight="1" x14ac:dyDescent="0.3">
      <c r="A68" s="56">
        <v>1393</v>
      </c>
      <c r="B68" s="23" t="s">
        <v>561</v>
      </c>
      <c r="C68" s="14">
        <v>2011</v>
      </c>
      <c r="D68" s="18" t="str">
        <f>VLOOKUP(A68, '전체 목록(n=66)'!C:F, 4, FALSE)</f>
        <v>네덜란드</v>
      </c>
      <c r="E68" s="6">
        <v>137</v>
      </c>
      <c r="F68" s="6" t="s">
        <v>106</v>
      </c>
      <c r="G68" s="6">
        <v>37</v>
      </c>
      <c r="H68" s="6" t="s">
        <v>107</v>
      </c>
      <c r="I68" s="6">
        <v>100</v>
      </c>
      <c r="J68" s="23" t="s">
        <v>39</v>
      </c>
      <c r="K68" s="6" t="s">
        <v>166</v>
      </c>
      <c r="L68" s="19"/>
      <c r="M68" s="19"/>
      <c r="N68" s="19"/>
      <c r="O68" s="19"/>
      <c r="P68" s="19">
        <v>41</v>
      </c>
      <c r="Q68" s="19">
        <v>98</v>
      </c>
      <c r="R68" s="19">
        <v>96</v>
      </c>
      <c r="S68" s="19">
        <v>85</v>
      </c>
      <c r="T68" s="19"/>
      <c r="U68" s="19"/>
      <c r="V68" s="19"/>
      <c r="W68" s="19"/>
      <c r="X68" s="19"/>
      <c r="Y68" s="19"/>
      <c r="Z68" s="58">
        <f t="shared" ref="Z68:Z131" si="14">G68*P68/100</f>
        <v>15.17</v>
      </c>
      <c r="AA68" s="58">
        <f t="shared" ref="AA68:AA131" si="15">I68-AC68</f>
        <v>2</v>
      </c>
      <c r="AB68" s="58">
        <f t="shared" ref="AB68:AB131" si="16">G68-Z68</f>
        <v>21.83</v>
      </c>
      <c r="AC68" s="58">
        <f t="shared" ref="AC68:AC131" si="17">I68*Q68/100</f>
        <v>98</v>
      </c>
      <c r="AD68" s="59">
        <f t="shared" si="9"/>
        <v>0.41</v>
      </c>
      <c r="AE68" s="59">
        <f t="shared" si="10"/>
        <v>0.98</v>
      </c>
      <c r="AF68" s="24">
        <f t="shared" si="11"/>
        <v>0.88351776354105993</v>
      </c>
      <c r="AG68" s="24">
        <f t="shared" si="12"/>
        <v>0.81782525244095805</v>
      </c>
      <c r="AH68" s="24">
        <f t="shared" si="13"/>
        <v>0.82605839416058391</v>
      </c>
    </row>
    <row r="69" spans="1:35" ht="18" customHeight="1" x14ac:dyDescent="0.3">
      <c r="A69" s="56">
        <v>1393</v>
      </c>
      <c r="B69" s="23" t="s">
        <v>561</v>
      </c>
      <c r="C69" s="14">
        <v>2011</v>
      </c>
      <c r="D69" s="18" t="str">
        <f>VLOOKUP(A69, '전체 목록(n=66)'!C:F, 4, FALSE)</f>
        <v>네덜란드</v>
      </c>
      <c r="E69" s="6">
        <v>137</v>
      </c>
      <c r="F69" s="6" t="s">
        <v>106</v>
      </c>
      <c r="G69" s="6">
        <v>37</v>
      </c>
      <c r="H69" s="6" t="s">
        <v>107</v>
      </c>
      <c r="I69" s="6">
        <v>100</v>
      </c>
      <c r="J69" s="6" t="s">
        <v>174</v>
      </c>
      <c r="K69" s="6" t="s">
        <v>166</v>
      </c>
      <c r="L69" s="19"/>
      <c r="M69" s="19"/>
      <c r="N69" s="19"/>
      <c r="O69" s="19"/>
      <c r="P69" s="19">
        <v>97</v>
      </c>
      <c r="Q69" s="19">
        <v>100</v>
      </c>
      <c r="R69" s="19">
        <v>100</v>
      </c>
      <c r="S69" s="19">
        <v>99</v>
      </c>
      <c r="T69" s="19"/>
      <c r="U69" s="19"/>
      <c r="V69" s="19"/>
      <c r="W69" s="19"/>
      <c r="X69" s="19"/>
      <c r="Y69" s="19"/>
      <c r="Z69" s="58">
        <f t="shared" si="14"/>
        <v>35.89</v>
      </c>
      <c r="AA69" s="58">
        <f t="shared" si="15"/>
        <v>0</v>
      </c>
      <c r="AB69" s="58">
        <f t="shared" si="16"/>
        <v>1.1099999999999994</v>
      </c>
      <c r="AC69" s="58">
        <f t="shared" si="17"/>
        <v>100</v>
      </c>
      <c r="AD69" s="59">
        <f t="shared" si="9"/>
        <v>0.97</v>
      </c>
      <c r="AE69" s="59">
        <f t="shared" si="10"/>
        <v>1</v>
      </c>
      <c r="AF69" s="24">
        <f t="shared" si="11"/>
        <v>1</v>
      </c>
      <c r="AG69" s="24">
        <f t="shared" si="12"/>
        <v>0.98902185738304815</v>
      </c>
      <c r="AH69" s="24">
        <f t="shared" si="13"/>
        <v>0.99189781021897805</v>
      </c>
    </row>
    <row r="70" spans="1:35" ht="18" customHeight="1" x14ac:dyDescent="0.3">
      <c r="A70" s="56">
        <v>1411</v>
      </c>
      <c r="B70" s="23" t="s">
        <v>562</v>
      </c>
      <c r="C70" s="14">
        <v>2011</v>
      </c>
      <c r="D70" s="18" t="str">
        <f>VLOOKUP(A70, '전체 목록(n=66)'!C:F, 4, FALSE)</f>
        <v>한국</v>
      </c>
      <c r="E70" s="6">
        <v>170</v>
      </c>
      <c r="F70" s="6" t="s">
        <v>106</v>
      </c>
      <c r="G70" s="6">
        <v>76</v>
      </c>
      <c r="H70" s="6" t="s">
        <v>107</v>
      </c>
      <c r="I70" s="6">
        <v>94</v>
      </c>
      <c r="J70" s="23" t="s">
        <v>39</v>
      </c>
      <c r="K70" s="6" t="s">
        <v>515</v>
      </c>
      <c r="L70" s="19"/>
      <c r="M70" s="19"/>
      <c r="N70" s="19"/>
      <c r="O70" s="19"/>
      <c r="P70" s="19">
        <v>46.1</v>
      </c>
      <c r="Q70" s="19">
        <v>94.7</v>
      </c>
      <c r="R70" s="19"/>
      <c r="S70" s="19"/>
      <c r="T70" s="19">
        <v>8.66</v>
      </c>
      <c r="U70" s="19">
        <v>0.23</v>
      </c>
      <c r="V70" s="19"/>
      <c r="W70" s="19"/>
      <c r="X70" s="19"/>
      <c r="Y70" s="19"/>
      <c r="Z70" s="58">
        <f t="shared" si="14"/>
        <v>35.036000000000001</v>
      </c>
      <c r="AA70" s="58">
        <f t="shared" si="15"/>
        <v>4.9819999999999851</v>
      </c>
      <c r="AB70" s="58">
        <f t="shared" si="16"/>
        <v>40.963999999999999</v>
      </c>
      <c r="AC70" s="58">
        <f t="shared" si="17"/>
        <v>89.018000000000015</v>
      </c>
      <c r="AD70" s="59">
        <f t="shared" si="9"/>
        <v>0.46100000000000002</v>
      </c>
      <c r="AE70" s="59">
        <f t="shared" si="10"/>
        <v>0.94700000000000017</v>
      </c>
      <c r="AF70" s="59">
        <f t="shared" si="11"/>
        <v>0.87550602228996988</v>
      </c>
      <c r="AG70" s="59">
        <f t="shared" si="12"/>
        <v>0.68484867135449523</v>
      </c>
      <c r="AH70" s="59">
        <f t="shared" si="13"/>
        <v>0.72972941176470596</v>
      </c>
      <c r="AI70" s="19"/>
    </row>
    <row r="71" spans="1:35" ht="18" customHeight="1" x14ac:dyDescent="0.3">
      <c r="A71" s="56">
        <v>1411</v>
      </c>
      <c r="B71" s="23" t="s">
        <v>562</v>
      </c>
      <c r="C71" s="14">
        <v>2011</v>
      </c>
      <c r="D71" s="18" t="str">
        <f>VLOOKUP(A71, '전체 목록(n=66)'!C:F, 4, FALSE)</f>
        <v>한국</v>
      </c>
      <c r="E71" s="6">
        <v>170</v>
      </c>
      <c r="F71" s="6" t="s">
        <v>106</v>
      </c>
      <c r="G71" s="6">
        <v>76</v>
      </c>
      <c r="H71" s="6" t="s">
        <v>107</v>
      </c>
      <c r="I71" s="6">
        <v>94</v>
      </c>
      <c r="J71" s="6" t="s">
        <v>51</v>
      </c>
      <c r="K71" s="6" t="s">
        <v>515</v>
      </c>
      <c r="L71" s="19"/>
      <c r="M71" s="19"/>
      <c r="N71" s="19"/>
      <c r="O71" s="19"/>
      <c r="P71" s="19">
        <v>67.099999999999994</v>
      </c>
      <c r="Q71" s="19">
        <v>91.5</v>
      </c>
      <c r="R71" s="19"/>
      <c r="S71" s="19"/>
      <c r="T71" s="19">
        <v>7.88</v>
      </c>
      <c r="U71" s="19">
        <v>0.36</v>
      </c>
      <c r="V71" s="19"/>
      <c r="W71" s="19"/>
      <c r="X71" s="19"/>
      <c r="Y71" s="19"/>
      <c r="Z71" s="58">
        <f t="shared" si="14"/>
        <v>50.995999999999995</v>
      </c>
      <c r="AA71" s="58">
        <f t="shared" si="15"/>
        <v>7.9899999999999949</v>
      </c>
      <c r="AB71" s="58">
        <f t="shared" si="16"/>
        <v>25.004000000000005</v>
      </c>
      <c r="AC71" s="58">
        <f t="shared" si="17"/>
        <v>86.01</v>
      </c>
      <c r="AD71" s="59">
        <f t="shared" si="9"/>
        <v>0.67099999999999993</v>
      </c>
      <c r="AE71" s="59">
        <f t="shared" si="10"/>
        <v>0.91500000000000004</v>
      </c>
      <c r="AF71" s="59">
        <f t="shared" si="11"/>
        <v>0.86454412911538336</v>
      </c>
      <c r="AG71" s="59">
        <f t="shared" si="12"/>
        <v>0.77476714648602873</v>
      </c>
      <c r="AH71" s="59">
        <f t="shared" si="13"/>
        <v>0.80591764705882352</v>
      </c>
      <c r="AI71" s="19"/>
    </row>
    <row r="72" spans="1:35" ht="18" customHeight="1" x14ac:dyDescent="0.3">
      <c r="A72" s="56">
        <v>1428</v>
      </c>
      <c r="B72" s="66" t="s">
        <v>563</v>
      </c>
      <c r="C72" s="67">
        <v>2011</v>
      </c>
      <c r="D72" s="68" t="str">
        <f>VLOOKUP(A72, '전체 목록(n=66)'!C:F, 4, FALSE)</f>
        <v>독일</v>
      </c>
      <c r="E72" s="69">
        <v>94</v>
      </c>
      <c r="F72" s="69" t="s">
        <v>97</v>
      </c>
      <c r="G72" s="61">
        <v>46</v>
      </c>
      <c r="H72" s="69" t="s">
        <v>98</v>
      </c>
      <c r="I72" s="69">
        <v>17</v>
      </c>
      <c r="J72" s="69" t="s">
        <v>39</v>
      </c>
      <c r="K72" s="69" t="s">
        <v>167</v>
      </c>
      <c r="L72" s="38"/>
      <c r="M72" s="38"/>
      <c r="N72" s="38"/>
      <c r="O72" s="38"/>
      <c r="P72" s="38">
        <v>76</v>
      </c>
      <c r="Q72" s="38">
        <v>75.599999999999994</v>
      </c>
      <c r="R72" s="38">
        <v>84.8</v>
      </c>
      <c r="S72" s="38">
        <v>63.6</v>
      </c>
      <c r="T72" s="38"/>
      <c r="U72" s="38"/>
      <c r="V72" s="38"/>
      <c r="W72" s="38">
        <v>0.78100000000000003</v>
      </c>
      <c r="X72" s="38"/>
      <c r="Y72" s="38"/>
      <c r="Z72" s="85">
        <f t="shared" si="14"/>
        <v>34.96</v>
      </c>
      <c r="AA72" s="85">
        <f t="shared" si="15"/>
        <v>4.1480000000000015</v>
      </c>
      <c r="AB72" s="85">
        <f t="shared" si="16"/>
        <v>11.04</v>
      </c>
      <c r="AC72" s="85">
        <f t="shared" si="17"/>
        <v>12.851999999999999</v>
      </c>
      <c r="AD72" s="71">
        <f t="shared" si="9"/>
        <v>0.76</v>
      </c>
      <c r="AE72" s="71">
        <f t="shared" si="10"/>
        <v>0.75599999999999989</v>
      </c>
      <c r="AF72" s="71">
        <f t="shared" si="11"/>
        <v>0.89393474480924617</v>
      </c>
      <c r="AG72" s="71">
        <f t="shared" si="12"/>
        <v>0.53792064289301866</v>
      </c>
      <c r="AH72" s="71">
        <f t="shared" si="13"/>
        <v>0.75892063492063488</v>
      </c>
    </row>
    <row r="73" spans="1:35" ht="18" customHeight="1" x14ac:dyDescent="0.3">
      <c r="A73" s="56">
        <v>1428</v>
      </c>
      <c r="B73" s="66" t="s">
        <v>563</v>
      </c>
      <c r="C73" s="67">
        <v>2011</v>
      </c>
      <c r="D73" s="68" t="str">
        <f>VLOOKUP(A73, '전체 목록(n=66)'!C:F, 4, FALSE)</f>
        <v>독일</v>
      </c>
      <c r="E73" s="69">
        <v>94</v>
      </c>
      <c r="F73" s="69" t="s">
        <v>97</v>
      </c>
      <c r="G73" s="69">
        <v>46</v>
      </c>
      <c r="H73" s="69" t="s">
        <v>98</v>
      </c>
      <c r="I73" s="69">
        <v>17</v>
      </c>
      <c r="J73" s="69" t="s">
        <v>110</v>
      </c>
      <c r="K73" s="69" t="s">
        <v>167</v>
      </c>
      <c r="L73" s="38"/>
      <c r="M73" s="38"/>
      <c r="N73" s="38"/>
      <c r="O73" s="38"/>
      <c r="P73" s="64">
        <v>82.14</v>
      </c>
      <c r="Q73" s="64">
        <v>76.09</v>
      </c>
      <c r="R73" s="38">
        <v>85</v>
      </c>
      <c r="S73" s="38">
        <v>72.099999999999994</v>
      </c>
      <c r="T73" s="38"/>
      <c r="U73" s="38"/>
      <c r="V73" s="38"/>
      <c r="W73" s="38">
        <v>0.81699999999999995</v>
      </c>
      <c r="X73" s="38"/>
      <c r="Y73" s="38"/>
      <c r="Z73" s="85">
        <f t="shared" si="14"/>
        <v>37.784399999999998</v>
      </c>
      <c r="AA73" s="85">
        <f t="shared" si="15"/>
        <v>4.0647000000000002</v>
      </c>
      <c r="AB73" s="85">
        <f t="shared" si="16"/>
        <v>8.215600000000002</v>
      </c>
      <c r="AC73" s="85">
        <f t="shared" si="17"/>
        <v>12.9353</v>
      </c>
      <c r="AD73" s="71">
        <f t="shared" si="9"/>
        <v>0.82139999999999991</v>
      </c>
      <c r="AE73" s="71">
        <f t="shared" si="10"/>
        <v>0.76090000000000002</v>
      </c>
      <c r="AF73" s="71">
        <f t="shared" si="11"/>
        <v>0.90287246320709402</v>
      </c>
      <c r="AG73" s="71">
        <f t="shared" si="12"/>
        <v>0.61157208440302779</v>
      </c>
      <c r="AH73" s="71">
        <f t="shared" si="13"/>
        <v>0.80507460317460311</v>
      </c>
    </row>
    <row r="74" spans="1:35" ht="18" customHeight="1" x14ac:dyDescent="0.3">
      <c r="A74" s="56">
        <v>1507</v>
      </c>
      <c r="B74" s="23" t="s">
        <v>562</v>
      </c>
      <c r="C74" s="14">
        <v>2010</v>
      </c>
      <c r="D74" s="18" t="str">
        <f>VLOOKUP(A74, '전체 목록(n=66)'!C:F, 4, FALSE)</f>
        <v>한국</v>
      </c>
      <c r="E74" s="6">
        <v>117</v>
      </c>
      <c r="F74" s="6" t="s">
        <v>61</v>
      </c>
      <c r="G74" s="6">
        <v>64</v>
      </c>
      <c r="H74" s="6" t="s">
        <v>62</v>
      </c>
      <c r="I74" s="6">
        <v>53</v>
      </c>
      <c r="J74" s="6" t="s">
        <v>39</v>
      </c>
      <c r="K74" s="6" t="s">
        <v>167</v>
      </c>
      <c r="L74" s="19"/>
      <c r="M74" s="19"/>
      <c r="N74" s="19"/>
      <c r="O74" s="19"/>
      <c r="P74" s="19">
        <v>64.099999999999994</v>
      </c>
      <c r="Q74" s="19">
        <v>81.099999999999994</v>
      </c>
      <c r="R74" s="19"/>
      <c r="S74" s="19"/>
      <c r="T74" s="19"/>
      <c r="U74" s="19"/>
      <c r="V74" s="19"/>
      <c r="W74" s="19">
        <v>0.77600000000000002</v>
      </c>
      <c r="X74" s="19" t="s">
        <v>114</v>
      </c>
      <c r="Y74" s="19"/>
      <c r="Z74" s="58">
        <f t="shared" si="14"/>
        <v>41.023999999999994</v>
      </c>
      <c r="AA74" s="58">
        <f t="shared" si="15"/>
        <v>10.01700000000001</v>
      </c>
      <c r="AB74" s="58">
        <f t="shared" si="16"/>
        <v>22.976000000000006</v>
      </c>
      <c r="AC74" s="58">
        <f t="shared" si="17"/>
        <v>42.98299999999999</v>
      </c>
      <c r="AD74" s="59">
        <f t="shared" si="9"/>
        <v>0.6409999999999999</v>
      </c>
      <c r="AE74" s="59">
        <f t="shared" si="10"/>
        <v>0.81099999999999983</v>
      </c>
      <c r="AF74" s="59">
        <f t="shared" si="11"/>
        <v>0.80374600811112618</v>
      </c>
      <c r="AG74" s="59">
        <f t="shared" si="12"/>
        <v>0.65166239633711831</v>
      </c>
      <c r="AH74" s="59">
        <f t="shared" si="13"/>
        <v>0.71800854700854677</v>
      </c>
    </row>
    <row r="75" spans="1:35" ht="18" customHeight="1" x14ac:dyDescent="0.3">
      <c r="A75" s="56">
        <v>1507</v>
      </c>
      <c r="B75" s="23" t="s">
        <v>562</v>
      </c>
      <c r="C75" s="14">
        <v>2010</v>
      </c>
      <c r="D75" s="18" t="str">
        <f>VLOOKUP(A75, '전체 목록(n=66)'!C:F, 4, FALSE)</f>
        <v>한국</v>
      </c>
      <c r="E75" s="6">
        <v>117</v>
      </c>
      <c r="F75" s="6" t="s">
        <v>61</v>
      </c>
      <c r="G75" s="6">
        <v>64</v>
      </c>
      <c r="H75" s="6" t="s">
        <v>62</v>
      </c>
      <c r="I75" s="6">
        <v>53</v>
      </c>
      <c r="J75" s="6" t="s">
        <v>95</v>
      </c>
      <c r="K75" s="6" t="s">
        <v>167</v>
      </c>
      <c r="L75" s="19"/>
      <c r="M75" s="19"/>
      <c r="N75" s="19"/>
      <c r="O75" s="19"/>
      <c r="P75" s="19">
        <v>39.1</v>
      </c>
      <c r="Q75" s="19">
        <v>98.1</v>
      </c>
      <c r="R75" s="19"/>
      <c r="S75" s="19"/>
      <c r="T75" s="19"/>
      <c r="U75" s="19"/>
      <c r="V75" s="19"/>
      <c r="W75" s="19">
        <v>0.81499999999999995</v>
      </c>
      <c r="X75" s="19" t="s">
        <v>115</v>
      </c>
      <c r="Y75" s="19"/>
      <c r="Z75" s="58">
        <f t="shared" si="14"/>
        <v>25.024000000000001</v>
      </c>
      <c r="AA75" s="58">
        <f t="shared" si="15"/>
        <v>1.007000000000005</v>
      </c>
      <c r="AB75" s="58">
        <f t="shared" si="16"/>
        <v>38.975999999999999</v>
      </c>
      <c r="AC75" s="58">
        <f t="shared" si="17"/>
        <v>51.992999999999995</v>
      </c>
      <c r="AD75" s="59">
        <f t="shared" si="9"/>
        <v>0.39100000000000001</v>
      </c>
      <c r="AE75" s="59">
        <f t="shared" si="10"/>
        <v>0.98099999999999987</v>
      </c>
      <c r="AF75" s="59">
        <f t="shared" si="11"/>
        <v>0.96131535476931329</v>
      </c>
      <c r="AG75" s="59">
        <f t="shared" si="12"/>
        <v>0.57154635095472084</v>
      </c>
      <c r="AH75" s="59">
        <f t="shared" si="13"/>
        <v>0.65826495726495726</v>
      </c>
    </row>
    <row r="76" spans="1:35" ht="18" customHeight="1" x14ac:dyDescent="0.3">
      <c r="A76" s="56">
        <v>1516</v>
      </c>
      <c r="B76" s="23" t="s">
        <v>564</v>
      </c>
      <c r="C76" s="14">
        <v>2010</v>
      </c>
      <c r="D76" s="18" t="str">
        <f>VLOOKUP(A76, '전체 목록(n=66)'!C:F, 4, FALSE)</f>
        <v>독일</v>
      </c>
      <c r="E76" s="6">
        <v>1386</v>
      </c>
      <c r="F76" s="6" t="s">
        <v>97</v>
      </c>
      <c r="G76" s="6">
        <v>299</v>
      </c>
      <c r="H76" s="6" t="s">
        <v>197</v>
      </c>
      <c r="I76" s="6">
        <f t="shared" ref="I76:I83" si="18">903+184</f>
        <v>1087</v>
      </c>
      <c r="J76" s="6" t="s">
        <v>39</v>
      </c>
      <c r="K76" s="6" t="s">
        <v>88</v>
      </c>
      <c r="L76" s="19"/>
      <c r="M76" s="19"/>
      <c r="N76" s="19"/>
      <c r="O76" s="19"/>
      <c r="P76" s="19">
        <v>62.3</v>
      </c>
      <c r="Q76" s="19">
        <v>87.5</v>
      </c>
      <c r="R76" s="19">
        <v>64.7</v>
      </c>
      <c r="S76" s="19">
        <v>86.3</v>
      </c>
      <c r="T76" s="19"/>
      <c r="U76" s="19"/>
      <c r="V76" s="19"/>
      <c r="W76" s="19">
        <v>0.83</v>
      </c>
      <c r="X76" s="19" t="s">
        <v>120</v>
      </c>
      <c r="Y76" s="19"/>
      <c r="Z76" s="17">
        <f t="shared" si="14"/>
        <v>186.27700000000002</v>
      </c>
      <c r="AA76" s="17">
        <f t="shared" si="15"/>
        <v>135.875</v>
      </c>
      <c r="AB76" s="17">
        <f t="shared" si="16"/>
        <v>112.72299999999998</v>
      </c>
      <c r="AC76" s="17">
        <f t="shared" si="17"/>
        <v>951.125</v>
      </c>
      <c r="AD76" s="24">
        <f t="shared" si="9"/>
        <v>0.623</v>
      </c>
      <c r="AE76" s="24">
        <f t="shared" si="10"/>
        <v>0.875</v>
      </c>
      <c r="AF76" s="71">
        <f t="shared" si="11"/>
        <v>0.57822704810151726</v>
      </c>
      <c r="AG76" s="71">
        <f t="shared" si="12"/>
        <v>0.89404219399763885</v>
      </c>
      <c r="AH76" s="24">
        <f t="shared" si="13"/>
        <v>0.82063636363636372</v>
      </c>
    </row>
    <row r="77" spans="1:35" ht="18" customHeight="1" x14ac:dyDescent="0.3">
      <c r="A77" s="56">
        <v>1516</v>
      </c>
      <c r="B77" s="23" t="s">
        <v>564</v>
      </c>
      <c r="C77" s="14">
        <v>2010</v>
      </c>
      <c r="D77" s="18" t="str">
        <f>VLOOKUP(A77, '전체 목록(n=66)'!C:F, 4, FALSE)</f>
        <v>독일</v>
      </c>
      <c r="E77" s="6">
        <v>1386</v>
      </c>
      <c r="F77" s="6" t="s">
        <v>97</v>
      </c>
      <c r="G77" s="6">
        <v>299</v>
      </c>
      <c r="H77" s="6" t="s">
        <v>197</v>
      </c>
      <c r="I77" s="6">
        <f t="shared" si="18"/>
        <v>1087</v>
      </c>
      <c r="J77" s="6" t="s">
        <v>121</v>
      </c>
      <c r="K77" s="6" t="s">
        <v>88</v>
      </c>
      <c r="L77" s="19"/>
      <c r="M77" s="19"/>
      <c r="N77" s="19"/>
      <c r="O77" s="19"/>
      <c r="P77" s="19">
        <v>43</v>
      </c>
      <c r="Q77" s="19">
        <v>97.9</v>
      </c>
      <c r="R77" s="19">
        <v>88.1</v>
      </c>
      <c r="S77" s="19">
        <v>82.4</v>
      </c>
      <c r="T77" s="19"/>
      <c r="U77" s="19"/>
      <c r="V77" s="19"/>
      <c r="W77" s="19">
        <v>0.77</v>
      </c>
      <c r="X77" s="19" t="s">
        <v>122</v>
      </c>
      <c r="Y77" s="19"/>
      <c r="Z77" s="17">
        <f t="shared" si="14"/>
        <v>128.57</v>
      </c>
      <c r="AA77" s="17">
        <f t="shared" si="15"/>
        <v>22.826999999999998</v>
      </c>
      <c r="AB77" s="17">
        <f t="shared" si="16"/>
        <v>170.43</v>
      </c>
      <c r="AC77" s="17">
        <f t="shared" si="17"/>
        <v>1064.173</v>
      </c>
      <c r="AD77" s="24">
        <f t="shared" si="9"/>
        <v>0.43</v>
      </c>
      <c r="AE77" s="24">
        <f t="shared" si="10"/>
        <v>0.97899999999999998</v>
      </c>
      <c r="AF77" s="71">
        <f t="shared" si="11"/>
        <v>0.8492242250506945</v>
      </c>
      <c r="AG77" s="71">
        <f t="shared" si="12"/>
        <v>0.86195562460159258</v>
      </c>
      <c r="AH77" s="24">
        <f t="shared" si="13"/>
        <v>0.86056493506493503</v>
      </c>
    </row>
    <row r="78" spans="1:35" ht="18" customHeight="1" x14ac:dyDescent="0.3">
      <c r="A78" s="56">
        <v>1516</v>
      </c>
      <c r="B78" s="23" t="s">
        <v>564</v>
      </c>
      <c r="C78" s="14">
        <v>2010</v>
      </c>
      <c r="D78" s="18" t="str">
        <f>VLOOKUP(A78, '전체 목록(n=66)'!C:F, 4, FALSE)</f>
        <v>독일</v>
      </c>
      <c r="E78" s="6">
        <v>1386</v>
      </c>
      <c r="F78" s="6" t="s">
        <v>97</v>
      </c>
      <c r="G78" s="6">
        <v>299</v>
      </c>
      <c r="H78" s="6" t="s">
        <v>197</v>
      </c>
      <c r="I78" s="6">
        <f t="shared" si="18"/>
        <v>1087</v>
      </c>
      <c r="J78" s="6" t="s">
        <v>39</v>
      </c>
      <c r="K78" s="6" t="s">
        <v>89</v>
      </c>
      <c r="L78" s="19"/>
      <c r="M78" s="19"/>
      <c r="N78" s="19"/>
      <c r="O78" s="19"/>
      <c r="P78" s="19">
        <v>61.4</v>
      </c>
      <c r="Q78" s="19">
        <v>85.8</v>
      </c>
      <c r="R78" s="19">
        <v>59.1</v>
      </c>
      <c r="S78" s="19">
        <v>86.9</v>
      </c>
      <c r="T78" s="19"/>
      <c r="U78" s="19"/>
      <c r="V78" s="19"/>
      <c r="W78" s="19">
        <v>0.83</v>
      </c>
      <c r="X78" s="19" t="s">
        <v>126</v>
      </c>
      <c r="Y78" s="19"/>
      <c r="Z78" s="17">
        <f t="shared" si="14"/>
        <v>183.58599999999998</v>
      </c>
      <c r="AA78" s="17">
        <f t="shared" si="15"/>
        <v>154.35400000000004</v>
      </c>
      <c r="AB78" s="17">
        <f t="shared" si="16"/>
        <v>115.41400000000002</v>
      </c>
      <c r="AC78" s="17">
        <f t="shared" si="17"/>
        <v>932.64599999999996</v>
      </c>
      <c r="AD78" s="24">
        <f t="shared" si="9"/>
        <v>0.61399999999999999</v>
      </c>
      <c r="AE78" s="24">
        <f t="shared" si="10"/>
        <v>0.85799999999999998</v>
      </c>
      <c r="AF78" s="71">
        <f t="shared" si="11"/>
        <v>0.54325028111499074</v>
      </c>
      <c r="AG78" s="71">
        <f t="shared" si="12"/>
        <v>0.88987844207392708</v>
      </c>
      <c r="AH78" s="24">
        <f t="shared" si="13"/>
        <v>0.80536219336219339</v>
      </c>
    </row>
    <row r="79" spans="1:35" ht="18" customHeight="1" x14ac:dyDescent="0.3">
      <c r="A79" s="56">
        <v>1516</v>
      </c>
      <c r="B79" s="23" t="s">
        <v>564</v>
      </c>
      <c r="C79" s="14">
        <v>2010</v>
      </c>
      <c r="D79" s="18" t="str">
        <f>VLOOKUP(A79, '전체 목록(n=66)'!C:F, 4, FALSE)</f>
        <v>독일</v>
      </c>
      <c r="E79" s="6">
        <v>1386</v>
      </c>
      <c r="F79" s="6" t="s">
        <v>97</v>
      </c>
      <c r="G79" s="6">
        <v>299</v>
      </c>
      <c r="H79" s="6" t="s">
        <v>197</v>
      </c>
      <c r="I79" s="6">
        <f t="shared" si="18"/>
        <v>1087</v>
      </c>
      <c r="J79" s="6" t="s">
        <v>121</v>
      </c>
      <c r="K79" s="6" t="s">
        <v>89</v>
      </c>
      <c r="L79" s="19"/>
      <c r="M79" s="19"/>
      <c r="N79" s="19"/>
      <c r="O79" s="19"/>
      <c r="P79" s="19">
        <v>50</v>
      </c>
      <c r="Q79" s="19">
        <v>97.7</v>
      </c>
      <c r="R79" s="19">
        <v>87.9</v>
      </c>
      <c r="S79" s="19">
        <v>85.3</v>
      </c>
      <c r="T79" s="19"/>
      <c r="U79" s="19"/>
      <c r="V79" s="19"/>
      <c r="W79" s="19">
        <v>0.8</v>
      </c>
      <c r="X79" s="19" t="s">
        <v>123</v>
      </c>
      <c r="Y79" s="19"/>
      <c r="Z79" s="17">
        <f t="shared" si="14"/>
        <v>149.5</v>
      </c>
      <c r="AA79" s="17">
        <f t="shared" si="15"/>
        <v>25.000999999999976</v>
      </c>
      <c r="AB79" s="17">
        <f t="shared" si="16"/>
        <v>149.5</v>
      </c>
      <c r="AC79" s="17">
        <f t="shared" si="17"/>
        <v>1061.999</v>
      </c>
      <c r="AD79" s="24">
        <f t="shared" ref="AD79:AD135" si="19">Z79/(Z79+AB79)</f>
        <v>0.5</v>
      </c>
      <c r="AE79" s="24">
        <f t="shared" ref="AE79:AE135" si="20">AC79/(AA79+AC79)</f>
        <v>0.97699999999999998</v>
      </c>
      <c r="AF79" s="71">
        <f t="shared" ref="AF79:AF135" si="21">Z79/(Z79+AA79)</f>
        <v>0.85672861473573225</v>
      </c>
      <c r="AG79" s="71">
        <f t="shared" ref="AG79:AG135" si="22">AC79/(AB79+AC79)</f>
        <v>0.87659915526137455</v>
      </c>
      <c r="AH79" s="24">
        <f t="shared" ref="AH79:AH135" si="23">(Z79+AC79)/(Z79+AA79+AB79+AC79)</f>
        <v>0.87409740259740265</v>
      </c>
    </row>
    <row r="80" spans="1:35" ht="18" customHeight="1" x14ac:dyDescent="0.3">
      <c r="A80" s="56">
        <v>1516</v>
      </c>
      <c r="B80" s="23" t="s">
        <v>564</v>
      </c>
      <c r="C80" s="14">
        <v>2010</v>
      </c>
      <c r="D80" s="18" t="str">
        <f>VLOOKUP(A80, '전체 목록(n=66)'!C:F, 4, FALSE)</f>
        <v>독일</v>
      </c>
      <c r="E80" s="6">
        <v>1386</v>
      </c>
      <c r="F80" s="6" t="s">
        <v>97</v>
      </c>
      <c r="G80" s="6">
        <v>299</v>
      </c>
      <c r="H80" s="6" t="s">
        <v>197</v>
      </c>
      <c r="I80" s="6">
        <f t="shared" si="18"/>
        <v>1087</v>
      </c>
      <c r="J80" s="6" t="s">
        <v>39</v>
      </c>
      <c r="K80" s="6" t="s">
        <v>90</v>
      </c>
      <c r="L80" s="19"/>
      <c r="M80" s="19"/>
      <c r="N80" s="19"/>
      <c r="O80" s="19"/>
      <c r="P80" s="19">
        <v>60.1</v>
      </c>
      <c r="Q80" s="19">
        <v>86.2</v>
      </c>
      <c r="R80" s="19">
        <v>57.6</v>
      </c>
      <c r="S80" s="19">
        <v>87.4</v>
      </c>
      <c r="T80" s="19"/>
      <c r="U80" s="19"/>
      <c r="V80" s="19"/>
      <c r="W80" s="19">
        <v>0.82</v>
      </c>
      <c r="X80" s="19" t="s">
        <v>127</v>
      </c>
      <c r="Y80" s="19"/>
      <c r="Z80" s="17">
        <f t="shared" si="14"/>
        <v>179.69900000000001</v>
      </c>
      <c r="AA80" s="17">
        <f t="shared" si="15"/>
        <v>150.00599999999986</v>
      </c>
      <c r="AB80" s="17">
        <f t="shared" si="16"/>
        <v>119.30099999999999</v>
      </c>
      <c r="AC80" s="17">
        <f t="shared" si="17"/>
        <v>936.99400000000014</v>
      </c>
      <c r="AD80" s="24">
        <f t="shared" si="19"/>
        <v>0.60100000000000009</v>
      </c>
      <c r="AE80" s="24">
        <f t="shared" si="20"/>
        <v>0.8620000000000001</v>
      </c>
      <c r="AF80" s="71">
        <f t="shared" si="21"/>
        <v>0.5450296477153822</v>
      </c>
      <c r="AG80" s="71">
        <f t="shared" si="22"/>
        <v>0.88705711945999943</v>
      </c>
      <c r="AH80" s="24">
        <f t="shared" si="23"/>
        <v>0.8056948051948053</v>
      </c>
    </row>
    <row r="81" spans="1:34" ht="18" customHeight="1" x14ac:dyDescent="0.3">
      <c r="A81" s="56">
        <v>1516</v>
      </c>
      <c r="B81" s="23" t="s">
        <v>564</v>
      </c>
      <c r="C81" s="14">
        <v>2010</v>
      </c>
      <c r="D81" s="18" t="str">
        <f>VLOOKUP(A81, '전체 목록(n=66)'!C:F, 4, FALSE)</f>
        <v>독일</v>
      </c>
      <c r="E81" s="6">
        <v>1386</v>
      </c>
      <c r="F81" s="6" t="s">
        <v>97</v>
      </c>
      <c r="G81" s="6">
        <v>299</v>
      </c>
      <c r="H81" s="6" t="s">
        <v>197</v>
      </c>
      <c r="I81" s="6">
        <f t="shared" si="18"/>
        <v>1087</v>
      </c>
      <c r="J81" s="6" t="s">
        <v>121</v>
      </c>
      <c r="K81" s="6" t="s">
        <v>90</v>
      </c>
      <c r="L81" s="19"/>
      <c r="M81" s="19"/>
      <c r="N81" s="19"/>
      <c r="O81" s="19"/>
      <c r="P81" s="19">
        <v>53.1</v>
      </c>
      <c r="Q81" s="19">
        <v>97.7</v>
      </c>
      <c r="R81" s="19">
        <v>88.2</v>
      </c>
      <c r="S81" s="19">
        <v>86.7</v>
      </c>
      <c r="T81" s="19"/>
      <c r="U81" s="19"/>
      <c r="V81" s="19"/>
      <c r="W81" s="19">
        <v>0.81</v>
      </c>
      <c r="X81" s="19" t="s">
        <v>124</v>
      </c>
      <c r="Y81" s="19"/>
      <c r="Z81" s="17">
        <f t="shared" si="14"/>
        <v>158.76900000000001</v>
      </c>
      <c r="AA81" s="17">
        <f t="shared" si="15"/>
        <v>25.000999999999976</v>
      </c>
      <c r="AB81" s="17">
        <f t="shared" si="16"/>
        <v>140.23099999999999</v>
      </c>
      <c r="AC81" s="17">
        <f t="shared" si="17"/>
        <v>1061.999</v>
      </c>
      <c r="AD81" s="24">
        <f t="shared" si="19"/>
        <v>0.53100000000000003</v>
      </c>
      <c r="AE81" s="24">
        <f t="shared" si="20"/>
        <v>0.97699999999999998</v>
      </c>
      <c r="AF81" s="71">
        <f t="shared" si="21"/>
        <v>0.86395494367959957</v>
      </c>
      <c r="AG81" s="71">
        <f t="shared" si="22"/>
        <v>0.88335759380484602</v>
      </c>
      <c r="AH81" s="24">
        <f t="shared" si="23"/>
        <v>0.88078499278499278</v>
      </c>
    </row>
    <row r="82" spans="1:34" ht="18" customHeight="1" x14ac:dyDescent="0.3">
      <c r="A82" s="56">
        <v>1516</v>
      </c>
      <c r="B82" s="23" t="s">
        <v>564</v>
      </c>
      <c r="C82" s="14">
        <v>2010</v>
      </c>
      <c r="D82" s="18" t="str">
        <f>VLOOKUP(A82, '전체 목록(n=66)'!C:F, 4, FALSE)</f>
        <v>독일</v>
      </c>
      <c r="E82" s="6">
        <v>1386</v>
      </c>
      <c r="F82" s="6" t="s">
        <v>97</v>
      </c>
      <c r="G82" s="6">
        <v>299</v>
      </c>
      <c r="H82" s="6" t="s">
        <v>197</v>
      </c>
      <c r="I82" s="6">
        <f t="shared" si="18"/>
        <v>1087</v>
      </c>
      <c r="J82" s="6" t="s">
        <v>39</v>
      </c>
      <c r="K82" s="6" t="s">
        <v>119</v>
      </c>
      <c r="L82" s="19"/>
      <c r="M82" s="19"/>
      <c r="N82" s="19"/>
      <c r="O82" s="19"/>
      <c r="P82" s="19">
        <v>61</v>
      </c>
      <c r="Q82" s="19">
        <v>86.6</v>
      </c>
      <c r="R82" s="19">
        <v>60.1</v>
      </c>
      <c r="S82" s="19">
        <v>87</v>
      </c>
      <c r="T82" s="19"/>
      <c r="U82" s="19"/>
      <c r="V82" s="19"/>
      <c r="W82" s="19">
        <v>0.82</v>
      </c>
      <c r="X82" s="19" t="s">
        <v>128</v>
      </c>
      <c r="Y82" s="19"/>
      <c r="Z82" s="17">
        <f t="shared" si="14"/>
        <v>182.39</v>
      </c>
      <c r="AA82" s="17">
        <f t="shared" si="15"/>
        <v>145.65800000000002</v>
      </c>
      <c r="AB82" s="17">
        <f t="shared" si="16"/>
        <v>116.61000000000001</v>
      </c>
      <c r="AC82" s="17">
        <f t="shared" si="17"/>
        <v>941.34199999999998</v>
      </c>
      <c r="AD82" s="24">
        <f t="shared" si="19"/>
        <v>0.61</v>
      </c>
      <c r="AE82" s="24">
        <f t="shared" si="20"/>
        <v>0.86599999999999999</v>
      </c>
      <c r="AF82" s="24">
        <f t="shared" si="21"/>
        <v>0.55598570940837921</v>
      </c>
      <c r="AG82" s="24">
        <f t="shared" si="22"/>
        <v>0.88977760805783246</v>
      </c>
      <c r="AH82" s="24">
        <f t="shared" si="23"/>
        <v>0.8107734487734487</v>
      </c>
    </row>
    <row r="83" spans="1:34" s="19" customFormat="1" ht="18" customHeight="1" x14ac:dyDescent="0.3">
      <c r="A83" s="56">
        <v>1516</v>
      </c>
      <c r="B83" s="23" t="s">
        <v>564</v>
      </c>
      <c r="C83" s="14">
        <v>2010</v>
      </c>
      <c r="D83" s="18" t="str">
        <f>VLOOKUP(A83, '전체 목록(n=66)'!C:F, 4, FALSE)</f>
        <v>독일</v>
      </c>
      <c r="E83" s="6">
        <v>1386</v>
      </c>
      <c r="F83" s="6" t="s">
        <v>97</v>
      </c>
      <c r="G83" s="6">
        <v>299</v>
      </c>
      <c r="H83" s="6" t="s">
        <v>197</v>
      </c>
      <c r="I83" s="6">
        <f t="shared" si="18"/>
        <v>1087</v>
      </c>
      <c r="J83" s="6" t="s">
        <v>121</v>
      </c>
      <c r="K83" s="6" t="s">
        <v>119</v>
      </c>
      <c r="P83" s="19">
        <v>62</v>
      </c>
      <c r="Q83" s="19">
        <v>97</v>
      </c>
      <c r="R83" s="19">
        <v>87.2</v>
      </c>
      <c r="S83" s="19">
        <v>88.5</v>
      </c>
      <c r="W83" s="19">
        <v>0.84</v>
      </c>
      <c r="X83" s="19" t="s">
        <v>125</v>
      </c>
      <c r="Z83" s="17">
        <f t="shared" si="14"/>
        <v>185.38</v>
      </c>
      <c r="AA83" s="17">
        <f t="shared" si="15"/>
        <v>32.6099999999999</v>
      </c>
      <c r="AB83" s="17">
        <f t="shared" si="16"/>
        <v>113.62</v>
      </c>
      <c r="AC83" s="17">
        <f t="shared" si="17"/>
        <v>1054.3900000000001</v>
      </c>
      <c r="AD83" s="24">
        <f t="shared" si="19"/>
        <v>0.62</v>
      </c>
      <c r="AE83" s="24">
        <f t="shared" si="20"/>
        <v>0.97000000000000008</v>
      </c>
      <c r="AF83" s="24">
        <f t="shared" si="21"/>
        <v>0.85040598192577677</v>
      </c>
      <c r="AG83" s="24">
        <f t="shared" si="22"/>
        <v>0.90272343558702395</v>
      </c>
      <c r="AH83" s="24">
        <f t="shared" si="23"/>
        <v>0.89449494949494945</v>
      </c>
    </row>
    <row r="84" spans="1:34" s="19" customFormat="1" ht="18" customHeight="1" x14ac:dyDescent="0.3">
      <c r="A84" s="74">
        <v>12124</v>
      </c>
      <c r="B84" s="72" t="s">
        <v>565</v>
      </c>
      <c r="C84" s="86">
        <v>2010</v>
      </c>
      <c r="D84" s="87" t="str">
        <f>VLOOKUP(A84, '전체 목록(n=66)'!C:F, 4, FALSE)</f>
        <v>중국</v>
      </c>
      <c r="E84" s="39">
        <v>224</v>
      </c>
      <c r="F84" s="75" t="s">
        <v>106</v>
      </c>
      <c r="G84" s="75">
        <f>38+35</f>
        <v>73</v>
      </c>
      <c r="H84" s="75" t="s">
        <v>107</v>
      </c>
      <c r="I84" s="75">
        <f>102+29+20</f>
        <v>151</v>
      </c>
      <c r="J84" s="39" t="s">
        <v>39</v>
      </c>
      <c r="K84" s="39" t="s">
        <v>130</v>
      </c>
      <c r="L84" s="73"/>
      <c r="M84" s="73"/>
      <c r="N84" s="73"/>
      <c r="O84" s="73"/>
      <c r="P84" s="73">
        <v>57.5</v>
      </c>
      <c r="Q84" s="73">
        <v>99</v>
      </c>
      <c r="R84" s="73"/>
      <c r="S84" s="73"/>
      <c r="T84" s="73">
        <v>6.2</v>
      </c>
      <c r="U84" s="73">
        <v>0.47</v>
      </c>
      <c r="V84" s="73"/>
      <c r="W84" s="73"/>
      <c r="X84" s="73"/>
      <c r="Y84" s="73"/>
      <c r="Z84" s="76">
        <f t="shared" si="14"/>
        <v>41.975000000000001</v>
      </c>
      <c r="AA84" s="76">
        <f t="shared" si="15"/>
        <v>1.5099999999999909</v>
      </c>
      <c r="AB84" s="76">
        <f t="shared" si="16"/>
        <v>31.024999999999999</v>
      </c>
      <c r="AC84" s="76">
        <f t="shared" si="17"/>
        <v>149.49</v>
      </c>
      <c r="AD84" s="77">
        <f t="shared" si="19"/>
        <v>0.57500000000000007</v>
      </c>
      <c r="AE84" s="77">
        <f t="shared" si="20"/>
        <v>0.9900000000000001</v>
      </c>
      <c r="AF84" s="77">
        <f t="shared" si="21"/>
        <v>0.96527538231574128</v>
      </c>
      <c r="AG84" s="77">
        <f t="shared" si="22"/>
        <v>0.82813062626374534</v>
      </c>
      <c r="AH84" s="77">
        <f t="shared" si="23"/>
        <v>0.85475446428571433</v>
      </c>
    </row>
    <row r="85" spans="1:34" ht="18" customHeight="1" x14ac:dyDescent="0.3">
      <c r="A85" s="74">
        <v>12124</v>
      </c>
      <c r="B85" s="72" t="s">
        <v>565</v>
      </c>
      <c r="C85" s="86">
        <v>2010</v>
      </c>
      <c r="D85" s="87" t="str">
        <f>VLOOKUP(A85, '전체 목록(n=66)'!C:F, 4, FALSE)</f>
        <v>중국</v>
      </c>
      <c r="E85" s="39">
        <v>224</v>
      </c>
      <c r="F85" s="39" t="s">
        <v>106</v>
      </c>
      <c r="G85" s="39">
        <f>38+35</f>
        <v>73</v>
      </c>
      <c r="H85" s="39" t="s">
        <v>107</v>
      </c>
      <c r="I85" s="39">
        <f>102+29+20</f>
        <v>151</v>
      </c>
      <c r="J85" s="39" t="s">
        <v>121</v>
      </c>
      <c r="K85" s="39" t="s">
        <v>130</v>
      </c>
      <c r="L85" s="73"/>
      <c r="M85" s="73"/>
      <c r="N85" s="73"/>
      <c r="O85" s="73"/>
      <c r="P85" s="73">
        <v>45.2</v>
      </c>
      <c r="Q85" s="73">
        <v>100</v>
      </c>
      <c r="R85" s="73"/>
      <c r="S85" s="73"/>
      <c r="T85" s="73" t="s">
        <v>132</v>
      </c>
      <c r="U85" s="73">
        <v>0.55000000000000004</v>
      </c>
      <c r="V85" s="73"/>
      <c r="W85" s="73"/>
      <c r="X85" s="73"/>
      <c r="Y85" s="73"/>
      <c r="Z85" s="76">
        <f t="shared" si="14"/>
        <v>32.996000000000002</v>
      </c>
      <c r="AA85" s="76">
        <f t="shared" si="15"/>
        <v>0</v>
      </c>
      <c r="AB85" s="76">
        <f t="shared" si="16"/>
        <v>40.003999999999998</v>
      </c>
      <c r="AC85" s="76">
        <f t="shared" si="17"/>
        <v>151</v>
      </c>
      <c r="AD85" s="77">
        <f t="shared" si="19"/>
        <v>0.45200000000000001</v>
      </c>
      <c r="AE85" s="77">
        <f t="shared" si="20"/>
        <v>1</v>
      </c>
      <c r="AF85" s="77">
        <f t="shared" si="21"/>
        <v>1</v>
      </c>
      <c r="AG85" s="77">
        <f t="shared" si="22"/>
        <v>0.79055936001340288</v>
      </c>
      <c r="AH85" s="77">
        <f t="shared" si="23"/>
        <v>0.82141071428571433</v>
      </c>
    </row>
    <row r="86" spans="1:34" ht="18" customHeight="1" x14ac:dyDescent="0.3">
      <c r="A86" s="56">
        <v>12125</v>
      </c>
      <c r="B86" s="23" t="s">
        <v>566</v>
      </c>
      <c r="C86" s="14">
        <v>2010</v>
      </c>
      <c r="D86" s="18" t="str">
        <f>VLOOKUP(A86, '전체 목록(n=66)'!C:F, 4, FALSE)</f>
        <v>중국</v>
      </c>
      <c r="E86" s="6">
        <v>105</v>
      </c>
      <c r="F86" s="60" t="s">
        <v>97</v>
      </c>
      <c r="G86" s="6">
        <v>10</v>
      </c>
      <c r="H86" s="6" t="s">
        <v>98</v>
      </c>
      <c r="I86" s="6">
        <v>95</v>
      </c>
      <c r="J86" s="6" t="s">
        <v>39</v>
      </c>
      <c r="K86" s="6" t="s">
        <v>55</v>
      </c>
      <c r="L86" s="19"/>
      <c r="M86" s="19"/>
      <c r="N86" s="19"/>
      <c r="O86" s="19"/>
      <c r="P86" s="19">
        <f>0.57*100</f>
        <v>56.999999999999993</v>
      </c>
      <c r="Q86" s="19">
        <f>0.71*100</f>
        <v>71</v>
      </c>
      <c r="R86" s="19">
        <f>0.61*100</f>
        <v>61</v>
      </c>
      <c r="S86" s="19">
        <f>0.68*100</f>
        <v>68</v>
      </c>
      <c r="T86" s="19">
        <v>1.97</v>
      </c>
      <c r="U86" s="19">
        <v>0.61</v>
      </c>
      <c r="V86" s="19"/>
      <c r="W86" s="19">
        <v>0.73299999999999998</v>
      </c>
      <c r="X86" s="19" t="s">
        <v>136</v>
      </c>
      <c r="Y86" s="19"/>
      <c r="Z86" s="58">
        <f t="shared" si="14"/>
        <v>5.6999999999999993</v>
      </c>
      <c r="AA86" s="58">
        <f t="shared" si="15"/>
        <v>27.549999999999997</v>
      </c>
      <c r="AB86" s="58">
        <f t="shared" si="16"/>
        <v>4.3000000000000007</v>
      </c>
      <c r="AC86" s="58">
        <f t="shared" si="17"/>
        <v>67.45</v>
      </c>
      <c r="AD86" s="59">
        <f t="shared" si="19"/>
        <v>0.56999999999999995</v>
      </c>
      <c r="AE86" s="59">
        <f t="shared" si="20"/>
        <v>0.71000000000000008</v>
      </c>
      <c r="AF86" s="59">
        <f t="shared" si="21"/>
        <v>0.1714285714285714</v>
      </c>
      <c r="AG86" s="59">
        <f t="shared" si="22"/>
        <v>0.94006968641114985</v>
      </c>
      <c r="AH86" s="59">
        <f t="shared" si="23"/>
        <v>0.69666666666666677</v>
      </c>
    </row>
    <row r="87" spans="1:34" ht="18" customHeight="1" x14ac:dyDescent="0.3">
      <c r="A87" s="56">
        <v>12125</v>
      </c>
      <c r="B87" s="23" t="s">
        <v>566</v>
      </c>
      <c r="C87" s="14">
        <v>2010</v>
      </c>
      <c r="D87" s="18" t="str">
        <f>VLOOKUP(A87, '전체 목록(n=66)'!C:F, 4, FALSE)</f>
        <v>중국</v>
      </c>
      <c r="E87" s="6">
        <v>105</v>
      </c>
      <c r="F87" s="6" t="s">
        <v>97</v>
      </c>
      <c r="G87" s="6">
        <v>10</v>
      </c>
      <c r="H87" s="6" t="s">
        <v>98</v>
      </c>
      <c r="I87" s="6">
        <v>95</v>
      </c>
      <c r="J87" s="6" t="s">
        <v>134</v>
      </c>
      <c r="K87" s="6" t="s">
        <v>55</v>
      </c>
      <c r="L87" s="19"/>
      <c r="M87" s="19"/>
      <c r="N87" s="19"/>
      <c r="O87" s="19"/>
      <c r="P87" s="19">
        <f>0.26*100</f>
        <v>26</v>
      </c>
      <c r="Q87" s="19">
        <f>0.98*100</f>
        <v>98</v>
      </c>
      <c r="R87" s="19">
        <f>0.93*100</f>
        <v>93</v>
      </c>
      <c r="S87" s="19">
        <f>0.63*100</f>
        <v>63</v>
      </c>
      <c r="T87" s="19">
        <v>13</v>
      </c>
      <c r="U87" s="19">
        <v>0.76</v>
      </c>
      <c r="V87" s="19"/>
      <c r="W87" s="19">
        <v>0.69199999999999995</v>
      </c>
      <c r="X87" s="19" t="s">
        <v>137</v>
      </c>
      <c r="Y87" s="19"/>
      <c r="Z87" s="58">
        <f t="shared" si="14"/>
        <v>2.6</v>
      </c>
      <c r="AA87" s="58">
        <f t="shared" si="15"/>
        <v>1.9000000000000057</v>
      </c>
      <c r="AB87" s="58">
        <f t="shared" si="16"/>
        <v>7.4</v>
      </c>
      <c r="AC87" s="58">
        <f t="shared" si="17"/>
        <v>93.1</v>
      </c>
      <c r="AD87" s="59">
        <f t="shared" si="19"/>
        <v>0.26</v>
      </c>
      <c r="AE87" s="59">
        <f t="shared" si="20"/>
        <v>0.98</v>
      </c>
      <c r="AF87" s="59">
        <f t="shared" si="21"/>
        <v>0.57777777777777717</v>
      </c>
      <c r="AG87" s="59">
        <f t="shared" si="22"/>
        <v>0.92636815920398008</v>
      </c>
      <c r="AH87" s="59">
        <f t="shared" si="23"/>
        <v>0.91142857142857137</v>
      </c>
    </row>
    <row r="88" spans="1:34" ht="18" customHeight="1" x14ac:dyDescent="0.3">
      <c r="A88" s="56">
        <v>12125</v>
      </c>
      <c r="B88" s="23" t="s">
        <v>566</v>
      </c>
      <c r="C88" s="14">
        <v>2010</v>
      </c>
      <c r="D88" s="18" t="str">
        <f>VLOOKUP(A88, '전체 목록(n=66)'!C:F, 4, FALSE)</f>
        <v>중국</v>
      </c>
      <c r="E88" s="6">
        <v>105</v>
      </c>
      <c r="F88" s="6" t="s">
        <v>97</v>
      </c>
      <c r="G88" s="6">
        <v>10</v>
      </c>
      <c r="H88" s="6" t="s">
        <v>98</v>
      </c>
      <c r="I88" s="6">
        <v>95</v>
      </c>
      <c r="J88" s="6" t="s">
        <v>135</v>
      </c>
      <c r="K88" s="6" t="s">
        <v>55</v>
      </c>
      <c r="L88" s="19"/>
      <c r="M88" s="19"/>
      <c r="N88" s="19"/>
      <c r="O88" s="19"/>
      <c r="P88" s="19">
        <f>0.37*100</f>
        <v>37</v>
      </c>
      <c r="Q88" s="19">
        <f>0.98*100</f>
        <v>98</v>
      </c>
      <c r="R88" s="19">
        <f>0.94*100</f>
        <v>94</v>
      </c>
      <c r="S88" s="19">
        <f>0.67*100</f>
        <v>67</v>
      </c>
      <c r="T88" s="19">
        <v>21.8</v>
      </c>
      <c r="U88" s="19">
        <v>0.64</v>
      </c>
      <c r="V88" s="19"/>
      <c r="W88" s="19">
        <v>0.72499999999999998</v>
      </c>
      <c r="X88" s="19" t="s">
        <v>138</v>
      </c>
      <c r="Y88" s="19"/>
      <c r="Z88" s="58">
        <f t="shared" si="14"/>
        <v>3.7</v>
      </c>
      <c r="AA88" s="58">
        <f t="shared" si="15"/>
        <v>1.9000000000000057</v>
      </c>
      <c r="AB88" s="58">
        <f t="shared" si="16"/>
        <v>6.3</v>
      </c>
      <c r="AC88" s="58">
        <f t="shared" si="17"/>
        <v>93.1</v>
      </c>
      <c r="AD88" s="59">
        <f t="shared" si="19"/>
        <v>0.37</v>
      </c>
      <c r="AE88" s="59">
        <f t="shared" si="20"/>
        <v>0.98</v>
      </c>
      <c r="AF88" s="59">
        <f t="shared" si="21"/>
        <v>0.66071428571428503</v>
      </c>
      <c r="AG88" s="59">
        <f t="shared" si="22"/>
        <v>0.93661971830985913</v>
      </c>
      <c r="AH88" s="59">
        <f t="shared" si="23"/>
        <v>0.92190476190476189</v>
      </c>
    </row>
    <row r="89" spans="1:34" ht="18" customHeight="1" x14ac:dyDescent="0.3">
      <c r="A89" s="56">
        <v>12818</v>
      </c>
      <c r="B89" s="23" t="s">
        <v>567</v>
      </c>
      <c r="C89" s="14">
        <v>2009</v>
      </c>
      <c r="D89" s="18" t="str">
        <f>VLOOKUP(A89, '전체 목록(n=66)'!C:F, 4, FALSE)</f>
        <v>폴란드</v>
      </c>
      <c r="E89" s="6">
        <v>42</v>
      </c>
      <c r="F89" s="6" t="s">
        <v>195</v>
      </c>
      <c r="G89" s="6">
        <v>50</v>
      </c>
      <c r="H89" s="6" t="s">
        <v>194</v>
      </c>
      <c r="I89" s="6">
        <v>34</v>
      </c>
      <c r="J89" s="23" t="s">
        <v>39</v>
      </c>
      <c r="K89" s="6" t="s">
        <v>167</v>
      </c>
      <c r="L89" s="19"/>
      <c r="M89" s="19"/>
      <c r="N89" s="19"/>
      <c r="O89" s="19"/>
      <c r="P89" s="19">
        <v>86</v>
      </c>
      <c r="Q89" s="19">
        <v>29</v>
      </c>
      <c r="R89" s="19"/>
      <c r="S89" s="19"/>
      <c r="T89" s="19"/>
      <c r="U89" s="19"/>
      <c r="V89" s="19"/>
      <c r="W89" s="19">
        <v>0.72799999999999998</v>
      </c>
      <c r="X89" s="19"/>
      <c r="Y89" s="19"/>
      <c r="Z89" s="58">
        <f t="shared" si="14"/>
        <v>43</v>
      </c>
      <c r="AA89" s="58">
        <f t="shared" si="15"/>
        <v>24.14</v>
      </c>
      <c r="AB89" s="58">
        <f t="shared" si="16"/>
        <v>7</v>
      </c>
      <c r="AC89" s="58">
        <f t="shared" si="17"/>
        <v>9.86</v>
      </c>
      <c r="AD89" s="59">
        <f t="shared" si="19"/>
        <v>0.86</v>
      </c>
      <c r="AE89" s="59">
        <f t="shared" si="20"/>
        <v>0.28999999999999998</v>
      </c>
      <c r="AF89" s="59">
        <f t="shared" si="21"/>
        <v>0.64045278522490323</v>
      </c>
      <c r="AG89" s="59">
        <f t="shared" si="22"/>
        <v>0.58481613285883749</v>
      </c>
      <c r="AH89" s="59">
        <f t="shared" si="23"/>
        <v>0.62928571428571423</v>
      </c>
    </row>
    <row r="90" spans="1:34" ht="18" customHeight="1" x14ac:dyDescent="0.3">
      <c r="A90" s="56">
        <v>12818</v>
      </c>
      <c r="B90" s="23" t="s">
        <v>567</v>
      </c>
      <c r="C90" s="14">
        <v>2009</v>
      </c>
      <c r="D90" s="18" t="str">
        <f>VLOOKUP(A90, '전체 목록(n=66)'!C:F, 4, FALSE)</f>
        <v>폴란드</v>
      </c>
      <c r="E90" s="6">
        <v>42</v>
      </c>
      <c r="F90" s="6" t="s">
        <v>195</v>
      </c>
      <c r="G90" s="6">
        <v>50</v>
      </c>
      <c r="H90" s="6" t="s">
        <v>194</v>
      </c>
      <c r="I90" s="6">
        <v>34</v>
      </c>
      <c r="J90" s="6" t="s">
        <v>51</v>
      </c>
      <c r="K90" s="6" t="s">
        <v>167</v>
      </c>
      <c r="L90" s="19"/>
      <c r="M90" s="19"/>
      <c r="N90" s="19"/>
      <c r="O90" s="19"/>
      <c r="P90" s="19">
        <v>88</v>
      </c>
      <c r="Q90" s="19">
        <v>81</v>
      </c>
      <c r="R90" s="19"/>
      <c r="S90" s="19"/>
      <c r="T90" s="19"/>
      <c r="U90" s="19"/>
      <c r="V90" s="19"/>
      <c r="W90" s="19">
        <v>0.89100000000000001</v>
      </c>
      <c r="X90" s="19"/>
      <c r="Y90" s="19"/>
      <c r="Z90" s="58">
        <f t="shared" si="14"/>
        <v>44</v>
      </c>
      <c r="AA90" s="58">
        <f t="shared" si="15"/>
        <v>6.4600000000000009</v>
      </c>
      <c r="AB90" s="58">
        <f t="shared" si="16"/>
        <v>6</v>
      </c>
      <c r="AC90" s="58">
        <f t="shared" si="17"/>
        <v>27.54</v>
      </c>
      <c r="AD90" s="59">
        <f t="shared" si="19"/>
        <v>0.88</v>
      </c>
      <c r="AE90" s="59">
        <f t="shared" si="20"/>
        <v>0.80999999999999994</v>
      </c>
      <c r="AF90" s="59">
        <f t="shared" si="21"/>
        <v>0.87197780420134763</v>
      </c>
      <c r="AG90" s="59">
        <f t="shared" si="22"/>
        <v>0.82110912343470488</v>
      </c>
      <c r="AH90" s="59">
        <f t="shared" si="23"/>
        <v>0.85166666666666657</v>
      </c>
    </row>
    <row r="91" spans="1:34" ht="18" customHeight="1" x14ac:dyDescent="0.3">
      <c r="A91" s="56" t="s">
        <v>528</v>
      </c>
      <c r="B91" s="19" t="s">
        <v>613</v>
      </c>
      <c r="C91" s="41">
        <v>2009</v>
      </c>
      <c r="D91" s="19" t="s">
        <v>529</v>
      </c>
      <c r="E91" s="6">
        <v>62</v>
      </c>
      <c r="F91" s="6" t="s">
        <v>97</v>
      </c>
      <c r="G91" s="6">
        <v>49</v>
      </c>
      <c r="H91" s="6" t="s">
        <v>98</v>
      </c>
      <c r="I91" s="6">
        <f>62-49</f>
        <v>13</v>
      </c>
      <c r="J91" s="6" t="s">
        <v>39</v>
      </c>
      <c r="K91" s="6" t="s">
        <v>531</v>
      </c>
      <c r="L91" s="19"/>
      <c r="M91" s="19"/>
      <c r="N91" s="19"/>
      <c r="O91" s="19"/>
      <c r="P91" s="19">
        <v>48.4</v>
      </c>
      <c r="Q91" s="19">
        <v>62.5</v>
      </c>
      <c r="R91" s="19">
        <v>83.3</v>
      </c>
      <c r="S91" s="19">
        <v>78.900000000000006</v>
      </c>
      <c r="T91" s="19"/>
      <c r="U91" s="19"/>
      <c r="V91" s="19"/>
      <c r="W91" s="19"/>
      <c r="X91" s="19"/>
      <c r="Y91" s="19"/>
      <c r="Z91" s="58">
        <f t="shared" si="14"/>
        <v>23.715999999999998</v>
      </c>
      <c r="AA91" s="58">
        <f t="shared" si="15"/>
        <v>4.875</v>
      </c>
      <c r="AB91" s="58">
        <f t="shared" si="16"/>
        <v>25.284000000000002</v>
      </c>
      <c r="AC91" s="58">
        <f t="shared" si="17"/>
        <v>8.125</v>
      </c>
      <c r="AD91" s="59">
        <f t="shared" si="19"/>
        <v>0.48399999999999993</v>
      </c>
      <c r="AE91" s="59">
        <f t="shared" si="20"/>
        <v>0.625</v>
      </c>
      <c r="AF91" s="59">
        <f t="shared" si="21"/>
        <v>0.82949179811828899</v>
      </c>
      <c r="AG91" s="59">
        <f t="shared" si="22"/>
        <v>0.24319794067466846</v>
      </c>
      <c r="AH91" s="59">
        <f t="shared" si="23"/>
        <v>0.5135645161290322</v>
      </c>
    </row>
    <row r="92" spans="1:34" ht="18" customHeight="1" x14ac:dyDescent="0.3">
      <c r="A92" s="56" t="s">
        <v>528</v>
      </c>
      <c r="B92" s="19" t="s">
        <v>613</v>
      </c>
      <c r="C92" s="41">
        <v>2009</v>
      </c>
      <c r="D92" s="19" t="s">
        <v>529</v>
      </c>
      <c r="E92" s="6">
        <v>62</v>
      </c>
      <c r="F92" s="6" t="s">
        <v>97</v>
      </c>
      <c r="G92" s="6">
        <v>49</v>
      </c>
      <c r="H92" s="6" t="s">
        <v>98</v>
      </c>
      <c r="I92" s="6">
        <f>62-49</f>
        <v>13</v>
      </c>
      <c r="J92" s="6" t="s">
        <v>530</v>
      </c>
      <c r="K92" s="6" t="s">
        <v>531</v>
      </c>
      <c r="L92" s="19"/>
      <c r="M92" s="19"/>
      <c r="N92" s="19"/>
      <c r="O92" s="19"/>
      <c r="P92" s="19">
        <v>38.700000000000003</v>
      </c>
      <c r="Q92" s="19">
        <v>62.5</v>
      </c>
      <c r="R92" s="19">
        <v>80</v>
      </c>
      <c r="S92" s="19">
        <v>20.8</v>
      </c>
      <c r="T92" s="19"/>
      <c r="U92" s="19"/>
      <c r="V92" s="19"/>
      <c r="W92" s="19"/>
      <c r="X92" s="19"/>
      <c r="Y92" s="19"/>
      <c r="Z92" s="58">
        <f t="shared" si="14"/>
        <v>18.963000000000001</v>
      </c>
      <c r="AA92" s="58">
        <f t="shared" si="15"/>
        <v>4.875</v>
      </c>
      <c r="AB92" s="58">
        <f t="shared" si="16"/>
        <v>30.036999999999999</v>
      </c>
      <c r="AC92" s="58">
        <f t="shared" si="17"/>
        <v>8.125</v>
      </c>
      <c r="AD92" s="59">
        <f t="shared" si="19"/>
        <v>0.38700000000000001</v>
      </c>
      <c r="AE92" s="59">
        <f t="shared" si="20"/>
        <v>0.625</v>
      </c>
      <c r="AF92" s="59">
        <f t="shared" si="21"/>
        <v>0.79549458847218724</v>
      </c>
      <c r="AG92" s="59">
        <f t="shared" si="22"/>
        <v>0.21290812850479535</v>
      </c>
      <c r="AH92" s="59">
        <f t="shared" si="23"/>
        <v>0.43690322580645163</v>
      </c>
    </row>
    <row r="93" spans="1:34" ht="18" customHeight="1" x14ac:dyDescent="0.3">
      <c r="A93" s="56" t="s">
        <v>528</v>
      </c>
      <c r="B93" s="19" t="s">
        <v>613</v>
      </c>
      <c r="C93" s="41">
        <v>2009</v>
      </c>
      <c r="D93" s="19" t="s">
        <v>529</v>
      </c>
      <c r="E93" s="6">
        <v>62</v>
      </c>
      <c r="F93" s="6" t="s">
        <v>97</v>
      </c>
      <c r="G93" s="6">
        <v>49</v>
      </c>
      <c r="H93" s="6" t="s">
        <v>98</v>
      </c>
      <c r="I93" s="6">
        <f>62-49</f>
        <v>13</v>
      </c>
      <c r="J93" s="6" t="s">
        <v>39</v>
      </c>
      <c r="K93" s="6" t="s">
        <v>532</v>
      </c>
      <c r="L93" s="19"/>
      <c r="M93" s="19"/>
      <c r="N93" s="19"/>
      <c r="O93" s="19"/>
      <c r="P93" s="19">
        <v>67</v>
      </c>
      <c r="Q93" s="19">
        <v>80</v>
      </c>
      <c r="R93" s="19">
        <v>94</v>
      </c>
      <c r="S93" s="19">
        <v>57</v>
      </c>
      <c r="T93" s="19"/>
      <c r="U93" s="19"/>
      <c r="V93" s="19"/>
      <c r="W93" s="19"/>
      <c r="X93" s="19"/>
      <c r="Y93" s="19"/>
      <c r="Z93" s="58">
        <f t="shared" si="14"/>
        <v>32.83</v>
      </c>
      <c r="AA93" s="58">
        <f t="shared" si="15"/>
        <v>2.5999999999999996</v>
      </c>
      <c r="AB93" s="58">
        <f t="shared" si="16"/>
        <v>16.170000000000002</v>
      </c>
      <c r="AC93" s="58">
        <f t="shared" si="17"/>
        <v>10.4</v>
      </c>
      <c r="AD93" s="59">
        <f t="shared" si="19"/>
        <v>0.66999999999999993</v>
      </c>
      <c r="AE93" s="59">
        <f t="shared" si="20"/>
        <v>0.8</v>
      </c>
      <c r="AF93" s="59">
        <f t="shared" si="21"/>
        <v>0.92661586226361836</v>
      </c>
      <c r="AG93" s="59">
        <f t="shared" si="22"/>
        <v>0.39141889348889725</v>
      </c>
      <c r="AH93" s="59">
        <f t="shared" si="23"/>
        <v>0.69725806451612893</v>
      </c>
    </row>
    <row r="94" spans="1:34" ht="18" customHeight="1" x14ac:dyDescent="0.3">
      <c r="A94" s="56" t="s">
        <v>528</v>
      </c>
      <c r="B94" s="19" t="s">
        <v>613</v>
      </c>
      <c r="C94" s="41">
        <v>2009</v>
      </c>
      <c r="D94" s="19" t="s">
        <v>529</v>
      </c>
      <c r="E94" s="6">
        <v>62</v>
      </c>
      <c r="F94" s="6" t="s">
        <v>97</v>
      </c>
      <c r="G94" s="6">
        <v>49</v>
      </c>
      <c r="H94" s="6" t="s">
        <v>98</v>
      </c>
      <c r="I94" s="6">
        <f>62-49</f>
        <v>13</v>
      </c>
      <c r="J94" s="6" t="s">
        <v>530</v>
      </c>
      <c r="K94" s="6" t="s">
        <v>532</v>
      </c>
      <c r="L94" s="19"/>
      <c r="M94" s="19"/>
      <c r="N94" s="19"/>
      <c r="O94" s="19"/>
      <c r="P94" s="19">
        <v>50</v>
      </c>
      <c r="Q94" s="19">
        <v>100</v>
      </c>
      <c r="R94" s="19">
        <v>100</v>
      </c>
      <c r="S94" s="19">
        <v>36</v>
      </c>
      <c r="T94" s="19"/>
      <c r="U94" s="19"/>
      <c r="V94" s="19"/>
      <c r="W94" s="19"/>
      <c r="X94" s="19"/>
      <c r="Y94" s="19"/>
      <c r="Z94" s="58">
        <f t="shared" si="14"/>
        <v>24.5</v>
      </c>
      <c r="AA94" s="58">
        <f t="shared" si="15"/>
        <v>0</v>
      </c>
      <c r="AB94" s="58">
        <f t="shared" si="16"/>
        <v>24.5</v>
      </c>
      <c r="AC94" s="58">
        <f t="shared" si="17"/>
        <v>13</v>
      </c>
      <c r="AD94" s="59">
        <f t="shared" si="19"/>
        <v>0.5</v>
      </c>
      <c r="AE94" s="59">
        <f t="shared" si="20"/>
        <v>1</v>
      </c>
      <c r="AF94" s="59">
        <f t="shared" si="21"/>
        <v>1</v>
      </c>
      <c r="AG94" s="59">
        <f t="shared" si="22"/>
        <v>0.34666666666666668</v>
      </c>
      <c r="AH94" s="59">
        <f t="shared" si="23"/>
        <v>0.60483870967741937</v>
      </c>
    </row>
    <row r="95" spans="1:34" ht="18" customHeight="1" x14ac:dyDescent="0.3">
      <c r="A95" s="56">
        <v>1889</v>
      </c>
      <c r="B95" s="23" t="s">
        <v>568</v>
      </c>
      <c r="C95" s="14">
        <v>2007</v>
      </c>
      <c r="D95" s="18" t="str">
        <f>VLOOKUP(A95, '전체 목록(n=66)'!C:F, 4, FALSE)</f>
        <v>이탈리아</v>
      </c>
      <c r="E95" s="6">
        <v>132</v>
      </c>
      <c r="F95" s="6" t="s">
        <v>97</v>
      </c>
      <c r="G95" s="6">
        <v>42</v>
      </c>
      <c r="H95" s="6" t="s">
        <v>81</v>
      </c>
      <c r="I95" s="6">
        <v>90</v>
      </c>
      <c r="J95" s="6" t="s">
        <v>39</v>
      </c>
      <c r="K95" s="6" t="s">
        <v>515</v>
      </c>
      <c r="L95" s="19"/>
      <c r="M95" s="19"/>
      <c r="N95" s="19"/>
      <c r="O95" s="19"/>
      <c r="P95" s="19">
        <v>71.400000000000006</v>
      </c>
      <c r="Q95" s="19">
        <v>94.4</v>
      </c>
      <c r="R95" s="19"/>
      <c r="S95" s="19"/>
      <c r="T95" s="19"/>
      <c r="U95" s="19"/>
      <c r="V95" s="19"/>
      <c r="W95" s="19">
        <v>0.89</v>
      </c>
      <c r="X95" s="19" t="s">
        <v>145</v>
      </c>
      <c r="Y95" s="19"/>
      <c r="Z95" s="58">
        <f t="shared" si="14"/>
        <v>29.988000000000003</v>
      </c>
      <c r="AA95" s="58">
        <f t="shared" si="15"/>
        <v>5.0400000000000063</v>
      </c>
      <c r="AB95" s="58">
        <f t="shared" si="16"/>
        <v>12.011999999999997</v>
      </c>
      <c r="AC95" s="58">
        <f t="shared" si="17"/>
        <v>84.96</v>
      </c>
      <c r="AD95" s="59">
        <f t="shared" si="19"/>
        <v>0.71400000000000008</v>
      </c>
      <c r="AE95" s="59">
        <f t="shared" si="20"/>
        <v>0.94399999999999995</v>
      </c>
      <c r="AF95" s="59">
        <f t="shared" si="21"/>
        <v>0.85611510791366896</v>
      </c>
      <c r="AG95" s="59">
        <f t="shared" si="22"/>
        <v>0.87612919193169159</v>
      </c>
      <c r="AH95" s="59">
        <f t="shared" si="23"/>
        <v>0.87081818181818171</v>
      </c>
    </row>
    <row r="96" spans="1:34" ht="18" customHeight="1" x14ac:dyDescent="0.3">
      <c r="A96" s="56">
        <v>1889</v>
      </c>
      <c r="B96" s="23" t="s">
        <v>568</v>
      </c>
      <c r="C96" s="14">
        <v>2007</v>
      </c>
      <c r="D96" s="18" t="str">
        <f>VLOOKUP(A96, '전체 목록(n=66)'!C:F, 4, FALSE)</f>
        <v>이탈리아</v>
      </c>
      <c r="E96" s="6">
        <v>132</v>
      </c>
      <c r="F96" s="6" t="s">
        <v>97</v>
      </c>
      <c r="G96" s="6">
        <v>42</v>
      </c>
      <c r="H96" s="6" t="s">
        <v>81</v>
      </c>
      <c r="I96" s="6">
        <v>90</v>
      </c>
      <c r="J96" s="6" t="s">
        <v>51</v>
      </c>
      <c r="K96" s="6" t="s">
        <v>515</v>
      </c>
      <c r="L96" s="19"/>
      <c r="M96" s="19"/>
      <c r="N96" s="19"/>
      <c r="O96" s="19"/>
      <c r="P96" s="19">
        <v>54.8</v>
      </c>
      <c r="Q96" s="19">
        <v>97.8</v>
      </c>
      <c r="R96" s="19"/>
      <c r="S96" s="19"/>
      <c r="T96" s="19"/>
      <c r="U96" s="19"/>
      <c r="V96" s="19"/>
      <c r="W96" s="19">
        <v>0.75</v>
      </c>
      <c r="X96" s="19" t="s">
        <v>146</v>
      </c>
      <c r="Y96" s="19"/>
      <c r="Z96" s="58">
        <f t="shared" si="14"/>
        <v>23.015999999999998</v>
      </c>
      <c r="AA96" s="58">
        <f t="shared" si="15"/>
        <v>1.980000000000004</v>
      </c>
      <c r="AB96" s="58">
        <f t="shared" si="16"/>
        <v>18.984000000000002</v>
      </c>
      <c r="AC96" s="58">
        <f t="shared" si="17"/>
        <v>88.02</v>
      </c>
      <c r="AD96" s="59">
        <f t="shared" si="19"/>
        <v>0.54799999999999993</v>
      </c>
      <c r="AE96" s="59">
        <f t="shared" si="20"/>
        <v>0.97799999999999998</v>
      </c>
      <c r="AF96" s="59">
        <f t="shared" si="21"/>
        <v>0.9207873259721554</v>
      </c>
      <c r="AG96" s="59">
        <f t="shared" si="22"/>
        <v>0.8225860715487272</v>
      </c>
      <c r="AH96" s="59">
        <f t="shared" si="23"/>
        <v>0.84118181818181814</v>
      </c>
    </row>
    <row r="97" spans="1:34" ht="18" customHeight="1" x14ac:dyDescent="0.3">
      <c r="A97" s="56">
        <v>1945</v>
      </c>
      <c r="B97" s="23" t="s">
        <v>571</v>
      </c>
      <c r="C97" s="14">
        <v>2007</v>
      </c>
      <c r="D97" s="18" t="str">
        <f>VLOOKUP(A97, '전체 목록(n=66)'!C:F, 4, FALSE)</f>
        <v>이탈리아</v>
      </c>
      <c r="E97" s="6">
        <v>516</v>
      </c>
      <c r="F97" s="6" t="s">
        <v>97</v>
      </c>
      <c r="G97" s="6">
        <v>110</v>
      </c>
      <c r="H97" s="6" t="s">
        <v>98</v>
      </c>
      <c r="I97" s="6">
        <f t="shared" ref="I97:I103" si="24">516-110</f>
        <v>406</v>
      </c>
      <c r="J97" s="6" t="s">
        <v>39</v>
      </c>
      <c r="K97" s="6" t="s">
        <v>515</v>
      </c>
      <c r="L97" s="19">
        <v>54</v>
      </c>
      <c r="M97" s="19">
        <v>71</v>
      </c>
      <c r="N97" s="19">
        <v>56</v>
      </c>
      <c r="O97" s="19">
        <v>335</v>
      </c>
      <c r="P97" s="19">
        <v>49</v>
      </c>
      <c r="Q97" s="19">
        <v>82.5</v>
      </c>
      <c r="R97" s="19">
        <v>43.2</v>
      </c>
      <c r="S97" s="19">
        <v>85.7</v>
      </c>
      <c r="T97" s="19">
        <v>2.81</v>
      </c>
      <c r="U97" s="19">
        <v>0.62</v>
      </c>
      <c r="V97" s="19"/>
      <c r="W97" s="19"/>
      <c r="X97" s="19"/>
      <c r="Y97" s="19"/>
      <c r="Z97" s="58">
        <f t="shared" si="14"/>
        <v>53.9</v>
      </c>
      <c r="AA97" s="58">
        <f t="shared" si="15"/>
        <v>71.050000000000011</v>
      </c>
      <c r="AB97" s="58">
        <f t="shared" si="16"/>
        <v>56.1</v>
      </c>
      <c r="AC97" s="58">
        <f t="shared" si="17"/>
        <v>334.95</v>
      </c>
      <c r="AD97" s="59">
        <f t="shared" si="19"/>
        <v>0.49</v>
      </c>
      <c r="AE97" s="59">
        <f t="shared" si="20"/>
        <v>0.82499999999999996</v>
      </c>
      <c r="AF97" s="59">
        <f t="shared" si="21"/>
        <v>0.43137254901960775</v>
      </c>
      <c r="AG97" s="59">
        <f t="shared" si="22"/>
        <v>0.85654008438818563</v>
      </c>
      <c r="AH97" s="59">
        <f t="shared" si="23"/>
        <v>0.75358527131782937</v>
      </c>
    </row>
    <row r="98" spans="1:34" ht="18" customHeight="1" x14ac:dyDescent="0.3">
      <c r="A98" s="56">
        <v>1945</v>
      </c>
      <c r="B98" s="23" t="s">
        <v>571</v>
      </c>
      <c r="C98" s="14">
        <v>2007</v>
      </c>
      <c r="D98" s="18" t="str">
        <f>VLOOKUP(A98, '전체 목록(n=66)'!C:F, 4, FALSE)</f>
        <v>이탈리아</v>
      </c>
      <c r="E98" s="6">
        <v>516</v>
      </c>
      <c r="F98" s="6" t="s">
        <v>97</v>
      </c>
      <c r="G98" s="6">
        <v>110</v>
      </c>
      <c r="H98" s="6" t="s">
        <v>98</v>
      </c>
      <c r="I98" s="6">
        <f t="shared" si="24"/>
        <v>406</v>
      </c>
      <c r="J98" s="6" t="s">
        <v>39</v>
      </c>
      <c r="K98" s="6" t="s">
        <v>153</v>
      </c>
      <c r="L98" s="19">
        <v>40</v>
      </c>
      <c r="M98" s="19">
        <v>50</v>
      </c>
      <c r="N98" s="19">
        <v>70</v>
      </c>
      <c r="O98" s="19">
        <v>356</v>
      </c>
      <c r="P98" s="19">
        <v>36.4</v>
      </c>
      <c r="Q98" s="19">
        <v>87.7</v>
      </c>
      <c r="R98" s="19">
        <v>44.4</v>
      </c>
      <c r="S98" s="19">
        <v>83.6</v>
      </c>
      <c r="T98" s="19">
        <v>2.95</v>
      </c>
      <c r="U98" s="19">
        <v>0.73</v>
      </c>
      <c r="V98" s="19"/>
      <c r="W98" s="19"/>
      <c r="X98" s="19"/>
      <c r="Y98" s="19"/>
      <c r="Z98" s="58">
        <f t="shared" si="14"/>
        <v>40.04</v>
      </c>
      <c r="AA98" s="58">
        <f t="shared" si="15"/>
        <v>49.937999999999931</v>
      </c>
      <c r="AB98" s="58">
        <f t="shared" si="16"/>
        <v>69.960000000000008</v>
      </c>
      <c r="AC98" s="58">
        <f t="shared" si="17"/>
        <v>356.06200000000007</v>
      </c>
      <c r="AD98" s="59">
        <f t="shared" si="19"/>
        <v>0.36399999999999999</v>
      </c>
      <c r="AE98" s="59">
        <f t="shared" si="20"/>
        <v>0.87700000000000022</v>
      </c>
      <c r="AF98" s="59">
        <f t="shared" si="21"/>
        <v>0.44499766609615721</v>
      </c>
      <c r="AG98" s="59">
        <f t="shared" si="22"/>
        <v>0.83578312857082504</v>
      </c>
      <c r="AH98" s="59">
        <f t="shared" si="23"/>
        <v>0.76763953488372105</v>
      </c>
    </row>
    <row r="99" spans="1:34" ht="18" customHeight="1" x14ac:dyDescent="0.3">
      <c r="A99" s="56">
        <v>1945</v>
      </c>
      <c r="B99" s="23" t="s">
        <v>571</v>
      </c>
      <c r="C99" s="14">
        <v>2007</v>
      </c>
      <c r="D99" s="18" t="str">
        <f>VLOOKUP(A99, '전체 목록(n=66)'!C:F, 4, FALSE)</f>
        <v>이탈리아</v>
      </c>
      <c r="E99" s="6">
        <v>516</v>
      </c>
      <c r="F99" s="6" t="s">
        <v>97</v>
      </c>
      <c r="G99" s="6">
        <v>110</v>
      </c>
      <c r="H99" s="6" t="s">
        <v>98</v>
      </c>
      <c r="I99" s="6">
        <f t="shared" si="24"/>
        <v>406</v>
      </c>
      <c r="J99" s="6" t="s">
        <v>51</v>
      </c>
      <c r="K99" s="6" t="s">
        <v>515</v>
      </c>
      <c r="L99" s="19">
        <v>85</v>
      </c>
      <c r="M99" s="19">
        <v>65</v>
      </c>
      <c r="N99" s="19">
        <v>25</v>
      </c>
      <c r="O99" s="19">
        <v>341</v>
      </c>
      <c r="P99" s="19">
        <v>77.3</v>
      </c>
      <c r="Q99" s="19">
        <v>84</v>
      </c>
      <c r="R99" s="19">
        <v>56.7</v>
      </c>
      <c r="S99" s="19">
        <v>93.2</v>
      </c>
      <c r="T99" s="19">
        <v>4.83</v>
      </c>
      <c r="U99" s="19">
        <v>0.27</v>
      </c>
      <c r="V99" s="19"/>
      <c r="W99" s="19"/>
      <c r="X99" s="19"/>
      <c r="Y99" s="19"/>
      <c r="Z99" s="58">
        <f t="shared" si="14"/>
        <v>85.03</v>
      </c>
      <c r="AA99" s="58">
        <f t="shared" si="15"/>
        <v>64.95999999999998</v>
      </c>
      <c r="AB99" s="58">
        <f t="shared" si="16"/>
        <v>24.97</v>
      </c>
      <c r="AC99" s="58">
        <f t="shared" si="17"/>
        <v>341.04</v>
      </c>
      <c r="AD99" s="59">
        <f t="shared" si="19"/>
        <v>0.77300000000000002</v>
      </c>
      <c r="AE99" s="59">
        <f t="shared" si="20"/>
        <v>0.84000000000000008</v>
      </c>
      <c r="AF99" s="59">
        <f t="shared" si="21"/>
        <v>0.5669044602973532</v>
      </c>
      <c r="AG99" s="59">
        <f t="shared" si="22"/>
        <v>0.93177782027813461</v>
      </c>
      <c r="AH99" s="59">
        <f t="shared" si="23"/>
        <v>0.82571705426356601</v>
      </c>
    </row>
    <row r="100" spans="1:34" ht="18" customHeight="1" x14ac:dyDescent="0.3">
      <c r="A100" s="56">
        <v>1945</v>
      </c>
      <c r="B100" s="23" t="s">
        <v>571</v>
      </c>
      <c r="C100" s="14">
        <v>2007</v>
      </c>
      <c r="D100" s="18" t="str">
        <f>VLOOKUP(A100, '전체 목록(n=66)'!C:F, 4, FALSE)</f>
        <v>이탈리아</v>
      </c>
      <c r="E100" s="6">
        <v>516</v>
      </c>
      <c r="F100" s="6" t="s">
        <v>97</v>
      </c>
      <c r="G100" s="6">
        <v>110</v>
      </c>
      <c r="H100" s="6" t="s">
        <v>98</v>
      </c>
      <c r="I100" s="6">
        <f t="shared" si="24"/>
        <v>406</v>
      </c>
      <c r="J100" s="6" t="s">
        <v>51</v>
      </c>
      <c r="K100" s="6" t="s">
        <v>154</v>
      </c>
      <c r="L100" s="19">
        <v>82</v>
      </c>
      <c r="M100" s="19">
        <v>54</v>
      </c>
      <c r="N100" s="19">
        <v>28</v>
      </c>
      <c r="O100" s="19">
        <v>352</v>
      </c>
      <c r="P100" s="19">
        <v>74.5</v>
      </c>
      <c r="Q100" s="19">
        <v>86.7</v>
      </c>
      <c r="R100" s="19">
        <v>60.3</v>
      </c>
      <c r="S100" s="19">
        <v>92.6</v>
      </c>
      <c r="T100" s="19">
        <v>5.6</v>
      </c>
      <c r="U100" s="19">
        <v>0.28999999999999998</v>
      </c>
      <c r="V100" s="19"/>
      <c r="W100" s="19"/>
      <c r="X100" s="19"/>
      <c r="Y100" s="19"/>
      <c r="Z100" s="58">
        <f t="shared" si="14"/>
        <v>81.95</v>
      </c>
      <c r="AA100" s="58">
        <f t="shared" si="15"/>
        <v>53.997999999999934</v>
      </c>
      <c r="AB100" s="58">
        <f t="shared" si="16"/>
        <v>28.049999999999997</v>
      </c>
      <c r="AC100" s="58">
        <f t="shared" si="17"/>
        <v>352.00200000000007</v>
      </c>
      <c r="AD100" s="59">
        <f t="shared" si="19"/>
        <v>0.745</v>
      </c>
      <c r="AE100" s="59">
        <f t="shared" si="20"/>
        <v>0.86700000000000021</v>
      </c>
      <c r="AF100" s="59">
        <f t="shared" si="21"/>
        <v>0.60280401329920297</v>
      </c>
      <c r="AG100" s="59">
        <f t="shared" si="22"/>
        <v>0.92619431025228127</v>
      </c>
      <c r="AH100" s="59">
        <f t="shared" si="23"/>
        <v>0.84099224806201556</v>
      </c>
    </row>
    <row r="101" spans="1:34" ht="18" customHeight="1" x14ac:dyDescent="0.3">
      <c r="A101" s="56">
        <v>1945</v>
      </c>
      <c r="B101" s="23" t="s">
        <v>571</v>
      </c>
      <c r="C101" s="14">
        <v>2007</v>
      </c>
      <c r="D101" s="18" t="str">
        <f>VLOOKUP(A101, '전체 목록(n=66)'!C:F, 4, FALSE)</f>
        <v>이탈리아</v>
      </c>
      <c r="E101" s="6">
        <v>516</v>
      </c>
      <c r="F101" s="6" t="s">
        <v>97</v>
      </c>
      <c r="G101" s="6">
        <v>110</v>
      </c>
      <c r="H101" s="6" t="s">
        <v>98</v>
      </c>
      <c r="I101" s="6">
        <f t="shared" si="24"/>
        <v>406</v>
      </c>
      <c r="J101" s="6" t="s">
        <v>51</v>
      </c>
      <c r="K101" s="6" t="s">
        <v>155</v>
      </c>
      <c r="L101" s="19">
        <v>78</v>
      </c>
      <c r="M101" s="19">
        <v>43</v>
      </c>
      <c r="N101" s="19">
        <v>32</v>
      </c>
      <c r="O101" s="19">
        <v>363</v>
      </c>
      <c r="P101" s="19">
        <v>71</v>
      </c>
      <c r="Q101" s="19">
        <v>89.4</v>
      </c>
      <c r="R101" s="19">
        <v>64.5</v>
      </c>
      <c r="S101" s="19">
        <v>92</v>
      </c>
      <c r="T101" s="19">
        <v>6.7</v>
      </c>
      <c r="U101" s="19">
        <v>0.33</v>
      </c>
      <c r="V101" s="19"/>
      <c r="W101" s="19"/>
      <c r="X101" s="19"/>
      <c r="Y101" s="19"/>
      <c r="Z101" s="58">
        <f t="shared" si="14"/>
        <v>78.099999999999994</v>
      </c>
      <c r="AA101" s="58">
        <f t="shared" si="15"/>
        <v>43.036000000000001</v>
      </c>
      <c r="AB101" s="58">
        <f t="shared" si="16"/>
        <v>31.900000000000006</v>
      </c>
      <c r="AC101" s="58">
        <f t="shared" si="17"/>
        <v>362.964</v>
      </c>
      <c r="AD101" s="59">
        <f t="shared" si="19"/>
        <v>0.71</v>
      </c>
      <c r="AE101" s="59">
        <f t="shared" si="20"/>
        <v>0.89400000000000002</v>
      </c>
      <c r="AF101" s="59">
        <f t="shared" si="21"/>
        <v>0.64472989037115302</v>
      </c>
      <c r="AG101" s="59">
        <f t="shared" si="22"/>
        <v>0.91921269095182134</v>
      </c>
      <c r="AH101" s="59">
        <f t="shared" si="23"/>
        <v>0.85477519379844957</v>
      </c>
    </row>
    <row r="102" spans="1:34" ht="18" customHeight="1" x14ac:dyDescent="0.3">
      <c r="A102" s="56">
        <v>1945</v>
      </c>
      <c r="B102" s="23" t="s">
        <v>571</v>
      </c>
      <c r="C102" s="14">
        <v>2007</v>
      </c>
      <c r="D102" s="18" t="str">
        <f>VLOOKUP(A102, '전체 목록(n=66)'!C:F, 4, FALSE)</f>
        <v>이탈리아</v>
      </c>
      <c r="E102" s="6">
        <v>516</v>
      </c>
      <c r="F102" s="6" t="s">
        <v>97</v>
      </c>
      <c r="G102" s="6">
        <v>110</v>
      </c>
      <c r="H102" s="6" t="s">
        <v>98</v>
      </c>
      <c r="I102" s="6">
        <f t="shared" si="24"/>
        <v>406</v>
      </c>
      <c r="J102" s="6" t="s">
        <v>51</v>
      </c>
      <c r="K102" s="6" t="s">
        <v>156</v>
      </c>
      <c r="L102" s="19">
        <v>75</v>
      </c>
      <c r="M102" s="19">
        <v>36</v>
      </c>
      <c r="N102" s="19">
        <v>35</v>
      </c>
      <c r="O102" s="19">
        <v>370</v>
      </c>
      <c r="P102" s="19">
        <v>68.2</v>
      </c>
      <c r="Q102" s="19">
        <v>91.1</v>
      </c>
      <c r="R102" s="19">
        <v>67.599999999999994</v>
      </c>
      <c r="S102" s="19">
        <v>91.4</v>
      </c>
      <c r="T102" s="19">
        <v>7.69</v>
      </c>
      <c r="U102" s="19">
        <v>0.35</v>
      </c>
      <c r="V102" s="19"/>
      <c r="W102" s="19"/>
      <c r="X102" s="19"/>
      <c r="Y102" s="19"/>
      <c r="Z102" s="58">
        <f t="shared" si="14"/>
        <v>75.02</v>
      </c>
      <c r="AA102" s="58">
        <f t="shared" si="15"/>
        <v>36.134000000000015</v>
      </c>
      <c r="AB102" s="58">
        <f t="shared" si="16"/>
        <v>34.980000000000004</v>
      </c>
      <c r="AC102" s="58">
        <f t="shared" si="17"/>
        <v>369.86599999999999</v>
      </c>
      <c r="AD102" s="59">
        <f t="shared" si="19"/>
        <v>0.68199999999999994</v>
      </c>
      <c r="AE102" s="59">
        <f t="shared" si="20"/>
        <v>0.91099999999999992</v>
      </c>
      <c r="AF102" s="59">
        <f t="shared" si="21"/>
        <v>0.67491948108030286</v>
      </c>
      <c r="AG102" s="59">
        <f t="shared" si="22"/>
        <v>0.91359677507002657</v>
      </c>
      <c r="AH102" s="59">
        <f t="shared" si="23"/>
        <v>0.86218217054263557</v>
      </c>
    </row>
    <row r="103" spans="1:34" ht="18" customHeight="1" x14ac:dyDescent="0.3">
      <c r="A103" s="56">
        <v>1945</v>
      </c>
      <c r="B103" s="23" t="s">
        <v>571</v>
      </c>
      <c r="C103" s="14">
        <v>2007</v>
      </c>
      <c r="D103" s="18" t="str">
        <f>VLOOKUP(A103, '전체 목록(n=66)'!C:F, 4, FALSE)</f>
        <v>이탈리아</v>
      </c>
      <c r="E103" s="6">
        <v>516</v>
      </c>
      <c r="F103" s="6" t="s">
        <v>97</v>
      </c>
      <c r="G103" s="6">
        <v>110</v>
      </c>
      <c r="H103" s="6" t="s">
        <v>98</v>
      </c>
      <c r="I103" s="6">
        <f t="shared" si="24"/>
        <v>406</v>
      </c>
      <c r="J103" s="6" t="s">
        <v>51</v>
      </c>
      <c r="K103" s="6" t="s">
        <v>157</v>
      </c>
      <c r="L103" s="19">
        <v>70</v>
      </c>
      <c r="M103" s="19">
        <v>28</v>
      </c>
      <c r="N103" s="19">
        <v>40</v>
      </c>
      <c r="O103" s="19">
        <v>378</v>
      </c>
      <c r="P103" s="19">
        <v>63.6</v>
      </c>
      <c r="Q103" s="19">
        <v>93.1</v>
      </c>
      <c r="R103" s="19">
        <v>71.400000000000006</v>
      </c>
      <c r="S103" s="19">
        <v>90.4</v>
      </c>
      <c r="T103" s="19">
        <v>9.23</v>
      </c>
      <c r="U103" s="19">
        <v>0.39</v>
      </c>
      <c r="V103" s="19"/>
      <c r="W103" s="19"/>
      <c r="X103" s="19"/>
      <c r="Y103" s="19"/>
      <c r="Z103" s="58">
        <f t="shared" si="14"/>
        <v>69.959999999999994</v>
      </c>
      <c r="AA103" s="58">
        <f t="shared" si="15"/>
        <v>28.01400000000001</v>
      </c>
      <c r="AB103" s="58">
        <f t="shared" si="16"/>
        <v>40.040000000000006</v>
      </c>
      <c r="AC103" s="58">
        <f t="shared" si="17"/>
        <v>377.98599999999999</v>
      </c>
      <c r="AD103" s="59">
        <f t="shared" si="19"/>
        <v>0.6359999999999999</v>
      </c>
      <c r="AE103" s="59">
        <f t="shared" si="20"/>
        <v>0.93099999999999994</v>
      </c>
      <c r="AF103" s="59">
        <f t="shared" si="21"/>
        <v>0.71406699736664825</v>
      </c>
      <c r="AG103" s="59">
        <f t="shared" si="22"/>
        <v>0.90421648414213462</v>
      </c>
      <c r="AH103" s="59">
        <f t="shared" si="23"/>
        <v>0.86811240310077509</v>
      </c>
    </row>
    <row r="104" spans="1:34" ht="18" customHeight="1" x14ac:dyDescent="0.3">
      <c r="A104" s="56">
        <v>13354</v>
      </c>
      <c r="B104" s="23" t="s">
        <v>572</v>
      </c>
      <c r="C104" s="14">
        <v>2007</v>
      </c>
      <c r="D104" s="18" t="str">
        <f>VLOOKUP(A104, '전체 목록(n=66)'!C:F, 4, FALSE)</f>
        <v>튀르키예</v>
      </c>
      <c r="E104" s="6">
        <v>65</v>
      </c>
      <c r="F104" s="6" t="s">
        <v>61</v>
      </c>
      <c r="G104" s="6">
        <v>21</v>
      </c>
      <c r="H104" s="6" t="s">
        <v>98</v>
      </c>
      <c r="I104" s="6">
        <v>44</v>
      </c>
      <c r="J104" s="6" t="s">
        <v>39</v>
      </c>
      <c r="K104" s="6" t="s">
        <v>164</v>
      </c>
      <c r="L104" s="19"/>
      <c r="M104" s="19"/>
      <c r="N104" s="19"/>
      <c r="O104" s="19"/>
      <c r="P104" s="19">
        <f>1*100</f>
        <v>100</v>
      </c>
      <c r="Q104" s="19">
        <f>0.89*100</f>
        <v>89</v>
      </c>
      <c r="R104" s="19"/>
      <c r="S104" s="19"/>
      <c r="T104" s="19"/>
      <c r="U104" s="19"/>
      <c r="V104" s="19"/>
      <c r="W104" s="19"/>
      <c r="X104" s="19"/>
      <c r="Y104" s="19">
        <v>0.999</v>
      </c>
      <c r="Z104" s="58">
        <f t="shared" si="14"/>
        <v>21</v>
      </c>
      <c r="AA104" s="58">
        <f t="shared" si="15"/>
        <v>4.8400000000000034</v>
      </c>
      <c r="AB104" s="58">
        <f t="shared" si="16"/>
        <v>0</v>
      </c>
      <c r="AC104" s="58">
        <f t="shared" si="17"/>
        <v>39.159999999999997</v>
      </c>
      <c r="AD104" s="59">
        <f t="shared" si="19"/>
        <v>1</v>
      </c>
      <c r="AE104" s="59">
        <f t="shared" si="20"/>
        <v>0.8899999999999999</v>
      </c>
      <c r="AF104" s="59">
        <f t="shared" si="21"/>
        <v>0.81269349845201233</v>
      </c>
      <c r="AG104" s="59">
        <f t="shared" si="22"/>
        <v>1</v>
      </c>
      <c r="AH104" s="59">
        <f t="shared" si="23"/>
        <v>0.92553846153846153</v>
      </c>
    </row>
    <row r="105" spans="1:34" ht="18" customHeight="1" x14ac:dyDescent="0.3">
      <c r="A105" s="56">
        <v>13354</v>
      </c>
      <c r="B105" s="23" t="s">
        <v>572</v>
      </c>
      <c r="C105" s="14">
        <v>2007</v>
      </c>
      <c r="D105" s="18" t="str">
        <f>VLOOKUP(A105, '전체 목록(n=66)'!C:F, 4, FALSE)</f>
        <v>튀르키예</v>
      </c>
      <c r="E105" s="6">
        <v>65</v>
      </c>
      <c r="F105" s="6" t="s">
        <v>61</v>
      </c>
      <c r="G105" s="6">
        <v>21</v>
      </c>
      <c r="H105" s="6" t="s">
        <v>98</v>
      </c>
      <c r="I105" s="6">
        <v>44</v>
      </c>
      <c r="J105" s="6" t="s">
        <v>51</v>
      </c>
      <c r="K105" s="6" t="s">
        <v>164</v>
      </c>
      <c r="L105" s="19"/>
      <c r="M105" s="19"/>
      <c r="N105" s="19"/>
      <c r="O105" s="19"/>
      <c r="P105" s="19">
        <v>57</v>
      </c>
      <c r="Q105" s="19">
        <f>0.36*100</f>
        <v>36</v>
      </c>
      <c r="R105" s="19"/>
      <c r="S105" s="19"/>
      <c r="T105" s="19"/>
      <c r="U105" s="19"/>
      <c r="V105" s="19"/>
      <c r="W105" s="19"/>
      <c r="X105" s="19"/>
      <c r="Y105" s="19">
        <v>0.48899999999999999</v>
      </c>
      <c r="Z105" s="58">
        <f t="shared" si="14"/>
        <v>11.97</v>
      </c>
      <c r="AA105" s="58">
        <f t="shared" si="15"/>
        <v>28.16</v>
      </c>
      <c r="AB105" s="58">
        <f t="shared" si="16"/>
        <v>9.0299999999999994</v>
      </c>
      <c r="AC105" s="58">
        <f t="shared" si="17"/>
        <v>15.84</v>
      </c>
      <c r="AD105" s="59">
        <f t="shared" si="19"/>
        <v>0.57000000000000006</v>
      </c>
      <c r="AE105" s="59">
        <f t="shared" si="20"/>
        <v>0.36</v>
      </c>
      <c r="AF105" s="59">
        <f t="shared" si="21"/>
        <v>0.29828058808871166</v>
      </c>
      <c r="AG105" s="59">
        <f t="shared" si="22"/>
        <v>0.63691194209891444</v>
      </c>
      <c r="AH105" s="59">
        <f t="shared" si="23"/>
        <v>0.42784615384615388</v>
      </c>
    </row>
    <row r="106" spans="1:34" ht="18" customHeight="1" x14ac:dyDescent="0.3">
      <c r="A106" s="56">
        <v>13354</v>
      </c>
      <c r="B106" s="23" t="s">
        <v>572</v>
      </c>
      <c r="C106" s="14">
        <v>2007</v>
      </c>
      <c r="D106" s="18" t="str">
        <f>VLOOKUP(A106, '전체 목록(n=66)'!C:F, 4, FALSE)</f>
        <v>튀르키예</v>
      </c>
      <c r="E106" s="6">
        <v>65</v>
      </c>
      <c r="F106" s="6" t="s">
        <v>61</v>
      </c>
      <c r="G106" s="6">
        <v>21</v>
      </c>
      <c r="H106" s="6" t="s">
        <v>98</v>
      </c>
      <c r="I106" s="6">
        <v>44</v>
      </c>
      <c r="J106" s="6" t="s">
        <v>39</v>
      </c>
      <c r="K106" s="6" t="s">
        <v>165</v>
      </c>
      <c r="L106" s="19"/>
      <c r="M106" s="19"/>
      <c r="N106" s="19"/>
      <c r="O106" s="19"/>
      <c r="P106" s="19">
        <f>1*100</f>
        <v>100</v>
      </c>
      <c r="Q106" s="19">
        <f>1*100</f>
        <v>100</v>
      </c>
      <c r="R106" s="19"/>
      <c r="S106" s="19"/>
      <c r="T106" s="19"/>
      <c r="U106" s="19"/>
      <c r="V106" s="19"/>
      <c r="W106" s="19"/>
      <c r="X106" s="19"/>
      <c r="Y106" s="19">
        <v>1</v>
      </c>
      <c r="Z106" s="58">
        <f t="shared" si="14"/>
        <v>21</v>
      </c>
      <c r="AA106" s="58">
        <f t="shared" si="15"/>
        <v>0</v>
      </c>
      <c r="AB106" s="58">
        <f t="shared" si="16"/>
        <v>0</v>
      </c>
      <c r="AC106" s="58">
        <f t="shared" si="17"/>
        <v>44</v>
      </c>
      <c r="AD106" s="59">
        <f t="shared" si="19"/>
        <v>1</v>
      </c>
      <c r="AE106" s="59">
        <f t="shared" si="20"/>
        <v>1</v>
      </c>
      <c r="AF106" s="59">
        <f t="shared" si="21"/>
        <v>1</v>
      </c>
      <c r="AG106" s="59">
        <f t="shared" si="22"/>
        <v>1</v>
      </c>
      <c r="AH106" s="59">
        <f t="shared" si="23"/>
        <v>1</v>
      </c>
    </row>
    <row r="107" spans="1:34" ht="18" customHeight="1" x14ac:dyDescent="0.3">
      <c r="A107" s="56">
        <v>13354</v>
      </c>
      <c r="B107" s="23" t="s">
        <v>572</v>
      </c>
      <c r="C107" s="14">
        <v>2007</v>
      </c>
      <c r="D107" s="18" t="str">
        <f>VLOOKUP(A107, '전체 목록(n=66)'!C:F, 4, FALSE)</f>
        <v>튀르키예</v>
      </c>
      <c r="E107" s="6">
        <v>65</v>
      </c>
      <c r="F107" s="6" t="s">
        <v>61</v>
      </c>
      <c r="G107" s="6">
        <v>21</v>
      </c>
      <c r="H107" s="6" t="s">
        <v>98</v>
      </c>
      <c r="I107" s="6">
        <v>44</v>
      </c>
      <c r="J107" s="6" t="s">
        <v>51</v>
      </c>
      <c r="K107" s="6" t="s">
        <v>165</v>
      </c>
      <c r="L107" s="19"/>
      <c r="M107" s="19"/>
      <c r="N107" s="19"/>
      <c r="O107" s="19"/>
      <c r="P107" s="19">
        <v>66</v>
      </c>
      <c r="Q107" s="19">
        <v>70</v>
      </c>
      <c r="R107" s="19"/>
      <c r="S107" s="19"/>
      <c r="T107" s="19"/>
      <c r="U107" s="19"/>
      <c r="V107" s="19"/>
      <c r="W107" s="19"/>
      <c r="X107" s="19"/>
      <c r="Y107" s="19">
        <v>0.70099999999999996</v>
      </c>
      <c r="Z107" s="58">
        <f t="shared" si="14"/>
        <v>13.86</v>
      </c>
      <c r="AA107" s="58">
        <f t="shared" si="15"/>
        <v>13.2</v>
      </c>
      <c r="AB107" s="58">
        <f t="shared" si="16"/>
        <v>7.1400000000000006</v>
      </c>
      <c r="AC107" s="58">
        <f t="shared" si="17"/>
        <v>30.8</v>
      </c>
      <c r="AD107" s="59">
        <f t="shared" si="19"/>
        <v>0.65999999999999992</v>
      </c>
      <c r="AE107" s="59">
        <f t="shared" si="20"/>
        <v>0.70000000000000007</v>
      </c>
      <c r="AF107" s="59">
        <f t="shared" si="21"/>
        <v>0.51219512195121952</v>
      </c>
      <c r="AG107" s="59">
        <f t="shared" si="22"/>
        <v>0.81180811808118092</v>
      </c>
      <c r="AH107" s="59">
        <f t="shared" si="23"/>
        <v>0.68707692307692303</v>
      </c>
    </row>
    <row r="108" spans="1:34" ht="18" customHeight="1" x14ac:dyDescent="0.3">
      <c r="A108" s="56">
        <v>13354</v>
      </c>
      <c r="B108" s="23" t="s">
        <v>572</v>
      </c>
      <c r="C108" s="14">
        <v>2007</v>
      </c>
      <c r="D108" s="18" t="str">
        <f>VLOOKUP(A108, '전체 목록(n=66)'!C:F, 4, FALSE)</f>
        <v>튀르키예</v>
      </c>
      <c r="E108" s="6">
        <v>65</v>
      </c>
      <c r="F108" s="6" t="s">
        <v>61</v>
      </c>
      <c r="G108" s="6">
        <v>21</v>
      </c>
      <c r="H108" s="6" t="s">
        <v>98</v>
      </c>
      <c r="I108" s="6">
        <v>44</v>
      </c>
      <c r="J108" s="6" t="s">
        <v>39</v>
      </c>
      <c r="K108" s="6" t="s">
        <v>166</v>
      </c>
      <c r="L108" s="19"/>
      <c r="M108" s="19"/>
      <c r="N108" s="19"/>
      <c r="O108" s="19"/>
      <c r="P108" s="19">
        <f>1*100</f>
        <v>100</v>
      </c>
      <c r="Q108" s="19">
        <f>1*100</f>
        <v>100</v>
      </c>
      <c r="R108" s="19"/>
      <c r="S108" s="19"/>
      <c r="T108" s="19"/>
      <c r="U108" s="19"/>
      <c r="V108" s="19"/>
      <c r="W108" s="19"/>
      <c r="X108" s="19"/>
      <c r="Y108" s="19">
        <v>1</v>
      </c>
      <c r="Z108" s="58">
        <f t="shared" si="14"/>
        <v>21</v>
      </c>
      <c r="AA108" s="58">
        <f t="shared" si="15"/>
        <v>0</v>
      </c>
      <c r="AB108" s="58">
        <f t="shared" si="16"/>
        <v>0</v>
      </c>
      <c r="AC108" s="58">
        <f t="shared" si="17"/>
        <v>44</v>
      </c>
      <c r="AD108" s="59">
        <f t="shared" si="19"/>
        <v>1</v>
      </c>
      <c r="AE108" s="59">
        <f t="shared" si="20"/>
        <v>1</v>
      </c>
      <c r="AF108" s="59">
        <f t="shared" si="21"/>
        <v>1</v>
      </c>
      <c r="AG108" s="59">
        <f t="shared" si="22"/>
        <v>1</v>
      </c>
      <c r="AH108" s="59">
        <f t="shared" si="23"/>
        <v>1</v>
      </c>
    </row>
    <row r="109" spans="1:34" ht="18" customHeight="1" x14ac:dyDescent="0.3">
      <c r="A109" s="56">
        <v>13354</v>
      </c>
      <c r="B109" s="23" t="s">
        <v>572</v>
      </c>
      <c r="C109" s="14">
        <v>2007</v>
      </c>
      <c r="D109" s="18" t="str">
        <f>VLOOKUP(A109, '전체 목록(n=66)'!C:F, 4, FALSE)</f>
        <v>튀르키예</v>
      </c>
      <c r="E109" s="6">
        <v>65</v>
      </c>
      <c r="F109" s="6" t="s">
        <v>61</v>
      </c>
      <c r="G109" s="6">
        <v>21</v>
      </c>
      <c r="H109" s="6" t="s">
        <v>98</v>
      </c>
      <c r="I109" s="6">
        <v>44</v>
      </c>
      <c r="J109" s="6" t="s">
        <v>51</v>
      </c>
      <c r="K109" s="6" t="s">
        <v>166</v>
      </c>
      <c r="L109" s="19"/>
      <c r="M109" s="19"/>
      <c r="N109" s="19"/>
      <c r="O109" s="19"/>
      <c r="P109" s="19">
        <f>0.71*100</f>
        <v>71</v>
      </c>
      <c r="Q109" s="19">
        <f>0.97*100</f>
        <v>97</v>
      </c>
      <c r="R109" s="19"/>
      <c r="S109" s="19"/>
      <c r="T109" s="19"/>
      <c r="U109" s="19"/>
      <c r="V109" s="19"/>
      <c r="W109" s="19"/>
      <c r="X109" s="19"/>
      <c r="Y109" s="19">
        <v>0.88300000000000001</v>
      </c>
      <c r="Z109" s="58">
        <f t="shared" si="14"/>
        <v>14.91</v>
      </c>
      <c r="AA109" s="58">
        <f t="shared" si="15"/>
        <v>1.3200000000000003</v>
      </c>
      <c r="AB109" s="58">
        <f t="shared" si="16"/>
        <v>6.09</v>
      </c>
      <c r="AC109" s="58">
        <f t="shared" si="17"/>
        <v>42.68</v>
      </c>
      <c r="AD109" s="59">
        <f t="shared" si="19"/>
        <v>0.71</v>
      </c>
      <c r="AE109" s="59">
        <f t="shared" si="20"/>
        <v>0.97</v>
      </c>
      <c r="AF109" s="59">
        <f t="shared" si="21"/>
        <v>0.91866913123844729</v>
      </c>
      <c r="AG109" s="59">
        <f t="shared" si="22"/>
        <v>0.87512815255279897</v>
      </c>
      <c r="AH109" s="59">
        <f t="shared" si="23"/>
        <v>0.88600000000000001</v>
      </c>
    </row>
    <row r="110" spans="1:34" ht="18" customHeight="1" x14ac:dyDescent="0.3">
      <c r="A110" s="56">
        <v>2091</v>
      </c>
      <c r="B110" s="23" t="s">
        <v>601</v>
      </c>
      <c r="C110" s="14">
        <v>2006</v>
      </c>
      <c r="D110" s="18" t="str">
        <f>VLOOKUP(A110, '전체 목록(n=66)'!C:F, 4, FALSE)</f>
        <v>일본</v>
      </c>
      <c r="E110" s="6">
        <f t="shared" ref="E110:E115" si="25">G110+I110</f>
        <v>77</v>
      </c>
      <c r="F110" s="6" t="s">
        <v>97</v>
      </c>
      <c r="G110" s="6">
        <v>53</v>
      </c>
      <c r="H110" s="6" t="s">
        <v>98</v>
      </c>
      <c r="I110" s="6">
        <v>24</v>
      </c>
      <c r="J110" s="6" t="s">
        <v>39</v>
      </c>
      <c r="K110" s="6" t="s">
        <v>88</v>
      </c>
      <c r="L110" s="19"/>
      <c r="M110" s="19"/>
      <c r="N110" s="19"/>
      <c r="O110" s="19"/>
      <c r="P110" s="19">
        <v>27.6</v>
      </c>
      <c r="Q110" s="19">
        <v>64.3</v>
      </c>
      <c r="R110" s="19"/>
      <c r="S110" s="19"/>
      <c r="T110" s="19"/>
      <c r="U110" s="19"/>
      <c r="V110" s="19"/>
      <c r="W110" s="19"/>
      <c r="X110" s="19"/>
      <c r="Y110" s="19"/>
      <c r="Z110" s="58">
        <f t="shared" si="14"/>
        <v>14.628000000000002</v>
      </c>
      <c r="AA110" s="58">
        <f t="shared" si="15"/>
        <v>8.5680000000000014</v>
      </c>
      <c r="AB110" s="58">
        <f t="shared" si="16"/>
        <v>38.372</v>
      </c>
      <c r="AC110" s="58">
        <f t="shared" si="17"/>
        <v>15.431999999999999</v>
      </c>
      <c r="AD110" s="59">
        <f t="shared" si="19"/>
        <v>0.27600000000000002</v>
      </c>
      <c r="AE110" s="59">
        <f t="shared" si="20"/>
        <v>0.6429999999999999</v>
      </c>
      <c r="AF110" s="59">
        <f t="shared" si="21"/>
        <v>0.63062596999482667</v>
      </c>
      <c r="AG110" s="59">
        <f t="shared" si="22"/>
        <v>0.28681882387926544</v>
      </c>
      <c r="AH110" s="59">
        <f t="shared" si="23"/>
        <v>0.3903896103896104</v>
      </c>
    </row>
    <row r="111" spans="1:34" ht="18" customHeight="1" x14ac:dyDescent="0.3">
      <c r="A111" s="56">
        <v>2091</v>
      </c>
      <c r="B111" s="23" t="s">
        <v>601</v>
      </c>
      <c r="C111" s="14">
        <v>2006</v>
      </c>
      <c r="D111" s="18" t="str">
        <f>VLOOKUP(A111, '전체 목록(n=66)'!C:F, 4, FALSE)</f>
        <v>일본</v>
      </c>
      <c r="E111" s="6">
        <f t="shared" si="25"/>
        <v>77</v>
      </c>
      <c r="F111" s="6" t="s">
        <v>97</v>
      </c>
      <c r="G111" s="6">
        <v>53</v>
      </c>
      <c r="H111" s="6" t="s">
        <v>98</v>
      </c>
      <c r="I111" s="6">
        <v>24</v>
      </c>
      <c r="J111" s="6" t="s">
        <v>95</v>
      </c>
      <c r="K111" s="6" t="s">
        <v>88</v>
      </c>
      <c r="L111" s="19"/>
      <c r="M111" s="19"/>
      <c r="N111" s="19"/>
      <c r="O111" s="19"/>
      <c r="P111" s="19">
        <v>24.1</v>
      </c>
      <c r="Q111" s="19">
        <v>100</v>
      </c>
      <c r="R111" s="19"/>
      <c r="S111" s="19"/>
      <c r="T111" s="19"/>
      <c r="U111" s="19"/>
      <c r="V111" s="19"/>
      <c r="W111" s="19"/>
      <c r="X111" s="19"/>
      <c r="Y111" s="19"/>
      <c r="Z111" s="58">
        <f t="shared" si="14"/>
        <v>12.773000000000001</v>
      </c>
      <c r="AA111" s="58">
        <f t="shared" si="15"/>
        <v>0</v>
      </c>
      <c r="AB111" s="58">
        <f t="shared" si="16"/>
        <v>40.226999999999997</v>
      </c>
      <c r="AC111" s="58">
        <f t="shared" si="17"/>
        <v>24</v>
      </c>
      <c r="AD111" s="59">
        <f t="shared" si="19"/>
        <v>0.24100000000000002</v>
      </c>
      <c r="AE111" s="59">
        <f t="shared" si="20"/>
        <v>1</v>
      </c>
      <c r="AF111" s="59">
        <f t="shared" si="21"/>
        <v>1</v>
      </c>
      <c r="AG111" s="59">
        <f t="shared" si="22"/>
        <v>0.37367462282217756</v>
      </c>
      <c r="AH111" s="59">
        <f t="shared" si="23"/>
        <v>0.47757142857142859</v>
      </c>
    </row>
    <row r="112" spans="1:34" ht="18" customHeight="1" x14ac:dyDescent="0.3">
      <c r="A112" s="56">
        <v>2091</v>
      </c>
      <c r="B112" s="23" t="s">
        <v>601</v>
      </c>
      <c r="C112" s="14">
        <v>2006</v>
      </c>
      <c r="D112" s="18" t="str">
        <f>VLOOKUP(A112, '전체 목록(n=66)'!C:F, 4, FALSE)</f>
        <v>일본</v>
      </c>
      <c r="E112" s="6">
        <f t="shared" si="25"/>
        <v>77</v>
      </c>
      <c r="F112" s="6" t="s">
        <v>97</v>
      </c>
      <c r="G112" s="6">
        <v>53</v>
      </c>
      <c r="H112" s="6" t="s">
        <v>98</v>
      </c>
      <c r="I112" s="6">
        <v>24</v>
      </c>
      <c r="J112" s="6" t="s">
        <v>39</v>
      </c>
      <c r="K112" s="6" t="s">
        <v>175</v>
      </c>
      <c r="L112" s="19"/>
      <c r="M112" s="19"/>
      <c r="N112" s="19"/>
      <c r="O112" s="19"/>
      <c r="P112" s="19">
        <v>44.4</v>
      </c>
      <c r="Q112" s="19">
        <v>66.7</v>
      </c>
      <c r="R112" s="19"/>
      <c r="S112" s="19"/>
      <c r="T112" s="19"/>
      <c r="U112" s="19"/>
      <c r="V112" s="19"/>
      <c r="W112" s="19"/>
      <c r="X112" s="19"/>
      <c r="Y112" s="19"/>
      <c r="Z112" s="58">
        <f t="shared" si="14"/>
        <v>23.531999999999996</v>
      </c>
      <c r="AA112" s="58">
        <f t="shared" si="15"/>
        <v>7.9919999999999973</v>
      </c>
      <c r="AB112" s="58">
        <f t="shared" si="16"/>
        <v>29.468000000000004</v>
      </c>
      <c r="AC112" s="58">
        <f t="shared" si="17"/>
        <v>16.008000000000003</v>
      </c>
      <c r="AD112" s="59">
        <f t="shared" si="19"/>
        <v>0.44399999999999995</v>
      </c>
      <c r="AE112" s="59">
        <f t="shared" si="20"/>
        <v>0.66700000000000015</v>
      </c>
      <c r="AF112" s="59">
        <f t="shared" si="21"/>
        <v>0.74647887323943662</v>
      </c>
      <c r="AG112" s="59">
        <f t="shared" si="22"/>
        <v>0.35200985135016272</v>
      </c>
      <c r="AH112" s="59">
        <f t="shared" si="23"/>
        <v>0.51350649350649347</v>
      </c>
    </row>
    <row r="113" spans="1:35" ht="18" customHeight="1" x14ac:dyDescent="0.3">
      <c r="A113" s="56">
        <v>2091</v>
      </c>
      <c r="B113" s="23" t="s">
        <v>601</v>
      </c>
      <c r="C113" s="14">
        <v>2006</v>
      </c>
      <c r="D113" s="18" t="str">
        <f>VLOOKUP(A113, '전체 목록(n=66)'!C:F, 4, FALSE)</f>
        <v>일본</v>
      </c>
      <c r="E113" s="6">
        <f t="shared" si="25"/>
        <v>77</v>
      </c>
      <c r="F113" s="6" t="s">
        <v>97</v>
      </c>
      <c r="G113" s="6">
        <v>53</v>
      </c>
      <c r="H113" s="6" t="s">
        <v>98</v>
      </c>
      <c r="I113" s="6">
        <v>24</v>
      </c>
      <c r="J113" s="6" t="s">
        <v>95</v>
      </c>
      <c r="K113" s="6" t="s">
        <v>175</v>
      </c>
      <c r="L113" s="19"/>
      <c r="M113" s="19"/>
      <c r="N113" s="19"/>
      <c r="O113" s="19"/>
      <c r="P113" s="19">
        <v>42.2</v>
      </c>
      <c r="Q113" s="19">
        <v>95.8</v>
      </c>
      <c r="R113" s="19"/>
      <c r="S113" s="19"/>
      <c r="T113" s="19"/>
      <c r="U113" s="19"/>
      <c r="V113" s="19"/>
      <c r="W113" s="19"/>
      <c r="X113" s="19"/>
      <c r="Y113" s="19"/>
      <c r="Z113" s="58">
        <f t="shared" si="14"/>
        <v>22.366000000000003</v>
      </c>
      <c r="AA113" s="58">
        <f t="shared" si="15"/>
        <v>1.0080000000000027</v>
      </c>
      <c r="AB113" s="58">
        <f t="shared" si="16"/>
        <v>30.633999999999997</v>
      </c>
      <c r="AC113" s="58">
        <f t="shared" si="17"/>
        <v>22.991999999999997</v>
      </c>
      <c r="AD113" s="59">
        <f t="shared" si="19"/>
        <v>0.42200000000000004</v>
      </c>
      <c r="AE113" s="59">
        <f t="shared" si="20"/>
        <v>0.95799999999999985</v>
      </c>
      <c r="AF113" s="59">
        <f t="shared" si="21"/>
        <v>0.95687516043467091</v>
      </c>
      <c r="AG113" s="59">
        <f t="shared" si="22"/>
        <v>0.42874724946854142</v>
      </c>
      <c r="AH113" s="59">
        <f t="shared" si="23"/>
        <v>0.58906493506493507</v>
      </c>
    </row>
    <row r="114" spans="1:35" ht="18" customHeight="1" x14ac:dyDescent="0.3">
      <c r="A114" s="56">
        <v>2091</v>
      </c>
      <c r="B114" s="23" t="s">
        <v>601</v>
      </c>
      <c r="C114" s="14">
        <v>2006</v>
      </c>
      <c r="D114" s="18" t="str">
        <f>VLOOKUP(A114, '전체 목록(n=66)'!C:F, 4, FALSE)</f>
        <v>일본</v>
      </c>
      <c r="E114" s="6">
        <f t="shared" si="25"/>
        <v>77</v>
      </c>
      <c r="F114" s="6" t="s">
        <v>97</v>
      </c>
      <c r="G114" s="6">
        <v>53</v>
      </c>
      <c r="H114" s="6" t="s">
        <v>98</v>
      </c>
      <c r="I114" s="6">
        <v>24</v>
      </c>
      <c r="J114" s="6" t="s">
        <v>39</v>
      </c>
      <c r="K114" s="6" t="s">
        <v>467</v>
      </c>
      <c r="L114" s="19"/>
      <c r="M114" s="19"/>
      <c r="N114" s="19"/>
      <c r="O114" s="19"/>
      <c r="P114" s="19">
        <v>52.8</v>
      </c>
      <c r="Q114" s="19">
        <v>70</v>
      </c>
      <c r="R114" s="19"/>
      <c r="S114" s="19"/>
      <c r="T114" s="19"/>
      <c r="U114" s="19"/>
      <c r="V114" s="19"/>
      <c r="W114" s="19"/>
      <c r="X114" s="19"/>
      <c r="Y114" s="19"/>
      <c r="Z114" s="58">
        <f t="shared" si="14"/>
        <v>27.983999999999995</v>
      </c>
      <c r="AA114" s="58">
        <f t="shared" si="15"/>
        <v>7.1999999999999993</v>
      </c>
      <c r="AB114" s="58">
        <f t="shared" si="16"/>
        <v>25.016000000000005</v>
      </c>
      <c r="AC114" s="58">
        <f t="shared" si="17"/>
        <v>16.8</v>
      </c>
      <c r="AD114" s="59">
        <f t="shared" si="19"/>
        <v>0.52799999999999991</v>
      </c>
      <c r="AE114" s="59">
        <f t="shared" si="20"/>
        <v>0.70000000000000007</v>
      </c>
      <c r="AF114" s="59">
        <f t="shared" si="21"/>
        <v>0.79536152796725779</v>
      </c>
      <c r="AG114" s="59">
        <f t="shared" si="22"/>
        <v>0.40176009183087813</v>
      </c>
      <c r="AH114" s="59">
        <f t="shared" si="23"/>
        <v>0.58161038961038947</v>
      </c>
    </row>
    <row r="115" spans="1:35" ht="18" customHeight="1" x14ac:dyDescent="0.3">
      <c r="A115" s="56">
        <v>2091</v>
      </c>
      <c r="B115" s="23" t="s">
        <v>601</v>
      </c>
      <c r="C115" s="14">
        <v>2006</v>
      </c>
      <c r="D115" s="18" t="str">
        <f>VLOOKUP(A115, '전체 목록(n=66)'!C:F, 4, FALSE)</f>
        <v>일본</v>
      </c>
      <c r="E115" s="6">
        <f t="shared" si="25"/>
        <v>77</v>
      </c>
      <c r="F115" s="6" t="s">
        <v>97</v>
      </c>
      <c r="G115" s="6">
        <v>53</v>
      </c>
      <c r="H115" s="6" t="s">
        <v>98</v>
      </c>
      <c r="I115" s="6">
        <v>24</v>
      </c>
      <c r="J115" s="6" t="s">
        <v>95</v>
      </c>
      <c r="K115" s="6" t="s">
        <v>467</v>
      </c>
      <c r="L115" s="19"/>
      <c r="M115" s="19"/>
      <c r="N115" s="19"/>
      <c r="O115" s="19"/>
      <c r="P115" s="19">
        <v>49.1</v>
      </c>
      <c r="Q115" s="19">
        <v>86.7</v>
      </c>
      <c r="R115" s="19"/>
      <c r="S115" s="19"/>
      <c r="T115" s="19"/>
      <c r="U115" s="19"/>
      <c r="V115" s="19"/>
      <c r="W115" s="19"/>
      <c r="X115" s="19"/>
      <c r="Y115" s="19"/>
      <c r="Z115" s="58">
        <f t="shared" si="14"/>
        <v>26.023000000000003</v>
      </c>
      <c r="AA115" s="58">
        <f t="shared" si="15"/>
        <v>3.1919999999999966</v>
      </c>
      <c r="AB115" s="58">
        <f t="shared" si="16"/>
        <v>26.976999999999997</v>
      </c>
      <c r="AC115" s="58">
        <f t="shared" si="17"/>
        <v>20.808000000000003</v>
      </c>
      <c r="AD115" s="59">
        <f t="shared" si="19"/>
        <v>0.49100000000000005</v>
      </c>
      <c r="AE115" s="59">
        <f t="shared" si="20"/>
        <v>0.8670000000000001</v>
      </c>
      <c r="AF115" s="59">
        <f t="shared" si="21"/>
        <v>0.89074105767585154</v>
      </c>
      <c r="AG115" s="59">
        <f t="shared" si="22"/>
        <v>0.43545045516375441</v>
      </c>
      <c r="AH115" s="59">
        <f t="shared" si="23"/>
        <v>0.60819480519480529</v>
      </c>
    </row>
    <row r="116" spans="1:35" ht="18" customHeight="1" x14ac:dyDescent="0.3">
      <c r="A116" s="56">
        <v>2455</v>
      </c>
      <c r="B116" s="23" t="s">
        <v>575</v>
      </c>
      <c r="C116" s="14">
        <v>2004</v>
      </c>
      <c r="D116" s="18" t="str">
        <f>VLOOKUP(A116, '전체 목록(n=66)'!C:F, 4, FALSE)</f>
        <v>미국</v>
      </c>
      <c r="E116" s="6">
        <v>537</v>
      </c>
      <c r="F116" s="6" t="s">
        <v>97</v>
      </c>
      <c r="G116" s="6">
        <v>33</v>
      </c>
      <c r="H116" s="6" t="s">
        <v>98</v>
      </c>
      <c r="I116" s="6">
        <f>E116-G116</f>
        <v>504</v>
      </c>
      <c r="J116" s="6" t="s">
        <v>39</v>
      </c>
      <c r="K116" s="6" t="s">
        <v>179</v>
      </c>
      <c r="L116" s="19"/>
      <c r="M116" s="19"/>
      <c r="N116" s="19"/>
      <c r="O116" s="19"/>
      <c r="P116" s="19">
        <v>69.7</v>
      </c>
      <c r="Q116" s="19">
        <v>74.8</v>
      </c>
      <c r="R116" s="19">
        <v>15.3</v>
      </c>
      <c r="S116" s="19">
        <v>97.4</v>
      </c>
      <c r="T116" s="19"/>
      <c r="U116" s="19"/>
      <c r="V116" s="19"/>
      <c r="W116" s="19">
        <v>0.77400000000000002</v>
      </c>
      <c r="X116" s="19" t="s">
        <v>178</v>
      </c>
      <c r="Y116" s="19"/>
      <c r="Z116" s="58">
        <f t="shared" si="14"/>
        <v>23.000999999999998</v>
      </c>
      <c r="AA116" s="58">
        <f t="shared" si="15"/>
        <v>127.00800000000004</v>
      </c>
      <c r="AB116" s="58">
        <f t="shared" si="16"/>
        <v>9.9990000000000023</v>
      </c>
      <c r="AC116" s="58">
        <f t="shared" si="17"/>
        <v>376.99199999999996</v>
      </c>
      <c r="AD116" s="59">
        <f t="shared" si="19"/>
        <v>0.69699999999999995</v>
      </c>
      <c r="AE116" s="59">
        <f t="shared" si="20"/>
        <v>0.74799999999999989</v>
      </c>
      <c r="AF116" s="59">
        <f t="shared" si="21"/>
        <v>0.15333080015199083</v>
      </c>
      <c r="AG116" s="59">
        <f t="shared" si="22"/>
        <v>0.97416218981836777</v>
      </c>
      <c r="AH116" s="59">
        <f t="shared" si="23"/>
        <v>0.74486592178770938</v>
      </c>
    </row>
    <row r="117" spans="1:35" ht="18" customHeight="1" x14ac:dyDescent="0.3">
      <c r="A117" s="56">
        <v>2455</v>
      </c>
      <c r="B117" s="23" t="s">
        <v>575</v>
      </c>
      <c r="C117" s="14">
        <v>2004</v>
      </c>
      <c r="D117" s="18" t="str">
        <f>VLOOKUP(A117, '전체 목록(n=66)'!C:F, 4, FALSE)</f>
        <v>미국</v>
      </c>
      <c r="E117" s="6">
        <v>537</v>
      </c>
      <c r="F117" s="6" t="s">
        <v>97</v>
      </c>
      <c r="G117" s="6">
        <v>33</v>
      </c>
      <c r="H117" s="6" t="s">
        <v>98</v>
      </c>
      <c r="I117" s="6">
        <f>E117-G117</f>
        <v>504</v>
      </c>
      <c r="J117" s="6" t="s">
        <v>51</v>
      </c>
      <c r="K117" s="6" t="s">
        <v>179</v>
      </c>
      <c r="L117" s="19"/>
      <c r="M117" s="19"/>
      <c r="N117" s="19"/>
      <c r="O117" s="19"/>
      <c r="P117" s="19">
        <v>33.299999999999997</v>
      </c>
      <c r="Q117" s="19">
        <v>99.4</v>
      </c>
      <c r="R117" s="19">
        <v>78.599999999999994</v>
      </c>
      <c r="S117" s="19">
        <v>95.8</v>
      </c>
      <c r="T117" s="19"/>
      <c r="U117" s="19"/>
      <c r="V117" s="19"/>
      <c r="W117" s="19"/>
      <c r="X117" s="19"/>
      <c r="Y117" s="19"/>
      <c r="Z117" s="58">
        <f t="shared" si="14"/>
        <v>10.988999999999999</v>
      </c>
      <c r="AA117" s="58">
        <f t="shared" si="15"/>
        <v>3.0239999999999441</v>
      </c>
      <c r="AB117" s="58">
        <f t="shared" si="16"/>
        <v>22.011000000000003</v>
      </c>
      <c r="AC117" s="58">
        <f t="shared" si="17"/>
        <v>500.97600000000006</v>
      </c>
      <c r="AD117" s="59">
        <f t="shared" si="19"/>
        <v>0.33299999999999996</v>
      </c>
      <c r="AE117" s="59">
        <f t="shared" si="20"/>
        <v>0.99400000000000011</v>
      </c>
      <c r="AF117" s="59">
        <f t="shared" si="21"/>
        <v>0.78420038535645786</v>
      </c>
      <c r="AG117" s="59">
        <f t="shared" si="22"/>
        <v>0.95791291179321858</v>
      </c>
      <c r="AH117" s="59">
        <f t="shared" si="23"/>
        <v>0.95337988826815645</v>
      </c>
    </row>
    <row r="118" spans="1:35" ht="18" customHeight="1" x14ac:dyDescent="0.3">
      <c r="A118" s="56">
        <v>2455</v>
      </c>
      <c r="B118" s="23" t="s">
        <v>575</v>
      </c>
      <c r="C118" s="14">
        <v>2004</v>
      </c>
      <c r="D118" s="18" t="str">
        <f>VLOOKUP(A118, '전체 목록(n=66)'!C:F, 4, FALSE)</f>
        <v>미국</v>
      </c>
      <c r="E118" s="6">
        <v>537</v>
      </c>
      <c r="F118" s="6" t="s">
        <v>97</v>
      </c>
      <c r="G118" s="6">
        <v>33</v>
      </c>
      <c r="H118" s="6" t="s">
        <v>98</v>
      </c>
      <c r="I118" s="6">
        <f>E118-G118</f>
        <v>504</v>
      </c>
      <c r="J118" s="6" t="s">
        <v>39</v>
      </c>
      <c r="K118" s="6" t="s">
        <v>130</v>
      </c>
      <c r="L118" s="19"/>
      <c r="M118" s="19"/>
      <c r="N118" s="19"/>
      <c r="O118" s="19"/>
      <c r="P118" s="19">
        <v>55.6</v>
      </c>
      <c r="Q118" s="19">
        <v>67.5</v>
      </c>
      <c r="R118" s="19">
        <v>81</v>
      </c>
      <c r="S118" s="19">
        <v>38</v>
      </c>
      <c r="T118" s="19"/>
      <c r="U118" s="19"/>
      <c r="V118" s="19"/>
      <c r="W118" s="19"/>
      <c r="X118" s="19"/>
      <c r="Y118" s="19"/>
      <c r="Z118" s="58">
        <f t="shared" si="14"/>
        <v>18.347999999999999</v>
      </c>
      <c r="AA118" s="58">
        <f t="shared" si="15"/>
        <v>163.80000000000001</v>
      </c>
      <c r="AB118" s="58">
        <f t="shared" si="16"/>
        <v>14.652000000000001</v>
      </c>
      <c r="AC118" s="58">
        <f t="shared" si="17"/>
        <v>340.2</v>
      </c>
      <c r="AD118" s="59">
        <f t="shared" si="19"/>
        <v>0.55599999999999994</v>
      </c>
      <c r="AE118" s="59">
        <f t="shared" si="20"/>
        <v>0.67499999999999993</v>
      </c>
      <c r="AF118" s="59">
        <f t="shared" si="21"/>
        <v>0.10073127346992554</v>
      </c>
      <c r="AG118" s="59">
        <f t="shared" si="22"/>
        <v>0.95870954651516693</v>
      </c>
      <c r="AH118" s="59">
        <f t="shared" si="23"/>
        <v>0.6676871508379888</v>
      </c>
    </row>
    <row r="119" spans="1:35" ht="18" customHeight="1" x14ac:dyDescent="0.3">
      <c r="A119" s="56">
        <v>2455</v>
      </c>
      <c r="B119" s="23" t="s">
        <v>575</v>
      </c>
      <c r="C119" s="14">
        <v>2004</v>
      </c>
      <c r="D119" s="18" t="str">
        <f>VLOOKUP(A119, '전체 목록(n=66)'!C:F, 4, FALSE)</f>
        <v>미국</v>
      </c>
      <c r="E119" s="6">
        <v>537</v>
      </c>
      <c r="F119" s="6" t="s">
        <v>97</v>
      </c>
      <c r="G119" s="6">
        <v>33</v>
      </c>
      <c r="H119" s="6" t="s">
        <v>98</v>
      </c>
      <c r="I119" s="6">
        <f>E119-G119</f>
        <v>504</v>
      </c>
      <c r="J119" s="6" t="s">
        <v>51</v>
      </c>
      <c r="K119" s="6" t="s">
        <v>130</v>
      </c>
      <c r="L119" s="19"/>
      <c r="M119" s="19"/>
      <c r="N119" s="19"/>
      <c r="O119" s="19"/>
      <c r="P119" s="19">
        <v>4.4000000000000004</v>
      </c>
      <c r="Q119" s="19">
        <v>98.7</v>
      </c>
      <c r="R119" s="19">
        <v>89.5</v>
      </c>
      <c r="S119" s="19">
        <v>29.3</v>
      </c>
      <c r="T119" s="19"/>
      <c r="U119" s="19"/>
      <c r="V119" s="19"/>
      <c r="W119" s="19"/>
      <c r="X119" s="19"/>
      <c r="Y119" s="19"/>
      <c r="Z119" s="58">
        <f t="shared" si="14"/>
        <v>1.4520000000000002</v>
      </c>
      <c r="AA119" s="58">
        <f t="shared" si="15"/>
        <v>6.5519999999999641</v>
      </c>
      <c r="AB119" s="58">
        <f t="shared" si="16"/>
        <v>31.547999999999998</v>
      </c>
      <c r="AC119" s="58">
        <f t="shared" si="17"/>
        <v>497.44800000000004</v>
      </c>
      <c r="AD119" s="59">
        <f t="shared" si="19"/>
        <v>4.4000000000000004E-2</v>
      </c>
      <c r="AE119" s="59">
        <f t="shared" si="20"/>
        <v>0.9870000000000001</v>
      </c>
      <c r="AF119" s="59">
        <f t="shared" si="21"/>
        <v>0.18140929535232467</v>
      </c>
      <c r="AG119" s="59">
        <f t="shared" si="22"/>
        <v>0.94036249801510796</v>
      </c>
      <c r="AH119" s="59">
        <f t="shared" si="23"/>
        <v>0.92905027932960904</v>
      </c>
    </row>
    <row r="120" spans="1:35" ht="18" customHeight="1" x14ac:dyDescent="0.3">
      <c r="A120" s="56">
        <v>2609</v>
      </c>
      <c r="B120" s="23" t="s">
        <v>546</v>
      </c>
      <c r="C120" s="14">
        <v>2003</v>
      </c>
      <c r="D120" s="18" t="str">
        <f>VLOOKUP(A120, '전체 목록(n=66)'!C:F, 4, FALSE)</f>
        <v>미국</v>
      </c>
      <c r="E120" s="6">
        <v>764</v>
      </c>
      <c r="F120" s="6" t="s">
        <v>106</v>
      </c>
      <c r="G120" s="6">
        <v>680</v>
      </c>
      <c r="H120" s="6" t="s">
        <v>107</v>
      </c>
      <c r="I120" s="6">
        <v>84</v>
      </c>
      <c r="J120" s="6" t="s">
        <v>39</v>
      </c>
      <c r="K120" s="6" t="s">
        <v>167</v>
      </c>
      <c r="L120" s="19"/>
      <c r="M120" s="19"/>
      <c r="N120" s="19"/>
      <c r="O120" s="19"/>
      <c r="P120" s="19">
        <v>59.6</v>
      </c>
      <c r="Q120" s="19">
        <v>77.099999999999994</v>
      </c>
      <c r="R120" s="19"/>
      <c r="S120" s="19"/>
      <c r="T120" s="19"/>
      <c r="U120" s="19"/>
      <c r="V120" s="19"/>
      <c r="W120" s="19"/>
      <c r="X120" s="19"/>
      <c r="Y120" s="19"/>
      <c r="Z120" s="58">
        <f t="shared" si="14"/>
        <v>405.28</v>
      </c>
      <c r="AA120" s="58">
        <f t="shared" si="15"/>
        <v>19.236000000000004</v>
      </c>
      <c r="AB120" s="58">
        <f t="shared" si="16"/>
        <v>274.72000000000003</v>
      </c>
      <c r="AC120" s="58">
        <f t="shared" si="17"/>
        <v>64.763999999999996</v>
      </c>
      <c r="AD120" s="59">
        <f t="shared" si="19"/>
        <v>0.59599999999999997</v>
      </c>
      <c r="AE120" s="59">
        <f t="shared" si="20"/>
        <v>0.77099999999999991</v>
      </c>
      <c r="AF120" s="59">
        <f t="shared" si="21"/>
        <v>0.95468722026967179</v>
      </c>
      <c r="AG120" s="59">
        <f t="shared" si="22"/>
        <v>0.19077187731969691</v>
      </c>
      <c r="AH120" s="59">
        <f t="shared" si="23"/>
        <v>0.61524083769633509</v>
      </c>
    </row>
    <row r="121" spans="1:35" ht="18" customHeight="1" x14ac:dyDescent="0.3">
      <c r="A121" s="56">
        <v>2609</v>
      </c>
      <c r="B121" s="23" t="s">
        <v>546</v>
      </c>
      <c r="C121" s="14">
        <v>2003</v>
      </c>
      <c r="D121" s="18" t="str">
        <f>VLOOKUP(A121, '전체 목록(n=66)'!C:F, 4, FALSE)</f>
        <v>미국</v>
      </c>
      <c r="E121" s="6">
        <v>764</v>
      </c>
      <c r="F121" s="6" t="s">
        <v>106</v>
      </c>
      <c r="G121" s="6">
        <v>680</v>
      </c>
      <c r="H121" s="6" t="s">
        <v>107</v>
      </c>
      <c r="I121" s="6">
        <v>84</v>
      </c>
      <c r="J121" s="6" t="s">
        <v>51</v>
      </c>
      <c r="K121" s="6" t="s">
        <v>167</v>
      </c>
      <c r="L121" s="19"/>
      <c r="M121" s="19"/>
      <c r="N121" s="19"/>
      <c r="O121" s="19"/>
      <c r="P121" s="19">
        <v>46.8</v>
      </c>
      <c r="Q121" s="19">
        <v>84.9</v>
      </c>
      <c r="R121" s="19"/>
      <c r="S121" s="19"/>
      <c r="T121" s="19"/>
      <c r="U121" s="19"/>
      <c r="V121" s="19"/>
      <c r="W121" s="19"/>
      <c r="X121" s="19"/>
      <c r="Y121" s="19"/>
      <c r="Z121" s="58">
        <f t="shared" si="14"/>
        <v>318.23999999999995</v>
      </c>
      <c r="AA121" s="58">
        <f t="shared" si="15"/>
        <v>12.683999999999997</v>
      </c>
      <c r="AB121" s="58">
        <f t="shared" si="16"/>
        <v>361.76000000000005</v>
      </c>
      <c r="AC121" s="58">
        <f t="shared" si="17"/>
        <v>71.316000000000003</v>
      </c>
      <c r="AD121" s="59">
        <f t="shared" si="19"/>
        <v>0.46799999999999992</v>
      </c>
      <c r="AE121" s="59">
        <f t="shared" si="20"/>
        <v>0.84899999999999998</v>
      </c>
      <c r="AF121" s="59">
        <f t="shared" si="21"/>
        <v>0.96167095768212629</v>
      </c>
      <c r="AG121" s="59">
        <f t="shared" si="22"/>
        <v>0.16467317514708735</v>
      </c>
      <c r="AH121" s="59">
        <f t="shared" si="23"/>
        <v>0.50989005235602081</v>
      </c>
    </row>
    <row r="122" spans="1:35" ht="18" customHeight="1" x14ac:dyDescent="0.3">
      <c r="A122" s="56">
        <v>2609</v>
      </c>
      <c r="B122" s="23" t="s">
        <v>546</v>
      </c>
      <c r="C122" s="14">
        <v>2003</v>
      </c>
      <c r="D122" s="18" t="str">
        <f>VLOOKUP(A122, '전체 목록(n=66)'!C:F, 4, FALSE)</f>
        <v>미국</v>
      </c>
      <c r="E122" s="6">
        <v>764</v>
      </c>
      <c r="F122" s="6" t="s">
        <v>106</v>
      </c>
      <c r="G122" s="6">
        <v>680</v>
      </c>
      <c r="H122" s="6" t="s">
        <v>107</v>
      </c>
      <c r="I122" s="6">
        <v>84</v>
      </c>
      <c r="J122" s="6" t="s">
        <v>39</v>
      </c>
      <c r="K122" s="6" t="s">
        <v>211</v>
      </c>
      <c r="L122" s="19"/>
      <c r="M122" s="19"/>
      <c r="N122" s="19"/>
      <c r="O122" s="19"/>
      <c r="P122" s="19">
        <v>69.7</v>
      </c>
      <c r="Q122" s="19">
        <v>74.5</v>
      </c>
      <c r="R122" s="19"/>
      <c r="S122" s="19"/>
      <c r="T122" s="19"/>
      <c r="U122" s="19"/>
      <c r="V122" s="19"/>
      <c r="W122" s="19"/>
      <c r="X122" s="19"/>
      <c r="Y122" s="19"/>
      <c r="Z122" s="58">
        <f t="shared" si="14"/>
        <v>473.96</v>
      </c>
      <c r="AA122" s="58">
        <f t="shared" si="15"/>
        <v>21.42</v>
      </c>
      <c r="AB122" s="58">
        <f t="shared" si="16"/>
        <v>206.04000000000002</v>
      </c>
      <c r="AC122" s="58">
        <f t="shared" si="17"/>
        <v>62.58</v>
      </c>
      <c r="AD122" s="59">
        <f t="shared" si="19"/>
        <v>0.69699999999999995</v>
      </c>
      <c r="AE122" s="59">
        <f t="shared" si="20"/>
        <v>0.745</v>
      </c>
      <c r="AF122" s="59">
        <f t="shared" si="21"/>
        <v>0.95676046671242276</v>
      </c>
      <c r="AG122" s="59">
        <f t="shared" si="22"/>
        <v>0.2329685056957784</v>
      </c>
      <c r="AH122" s="59">
        <f t="shared" si="23"/>
        <v>0.70227748691099456</v>
      </c>
    </row>
    <row r="123" spans="1:35" ht="18" customHeight="1" x14ac:dyDescent="0.3">
      <c r="A123" s="56">
        <v>2609</v>
      </c>
      <c r="B123" s="23" t="s">
        <v>546</v>
      </c>
      <c r="C123" s="14">
        <v>2003</v>
      </c>
      <c r="D123" s="18" t="str">
        <f>VLOOKUP(A123, '전체 목록(n=66)'!C:F, 4, FALSE)</f>
        <v>미국</v>
      </c>
      <c r="E123" s="6">
        <v>764</v>
      </c>
      <c r="F123" s="6" t="s">
        <v>106</v>
      </c>
      <c r="G123" s="6">
        <v>680</v>
      </c>
      <c r="H123" s="6" t="s">
        <v>107</v>
      </c>
      <c r="I123" s="6">
        <v>84</v>
      </c>
      <c r="J123" s="6" t="s">
        <v>51</v>
      </c>
      <c r="K123" s="6" t="s">
        <v>211</v>
      </c>
      <c r="L123" s="19"/>
      <c r="M123" s="19"/>
      <c r="N123" s="19"/>
      <c r="O123" s="19"/>
      <c r="P123" s="19">
        <v>57.8</v>
      </c>
      <c r="Q123" s="19">
        <v>83.1</v>
      </c>
      <c r="R123" s="19"/>
      <c r="S123" s="19"/>
      <c r="T123" s="19"/>
      <c r="U123" s="19"/>
      <c r="V123" s="19"/>
      <c r="W123" s="19"/>
      <c r="X123" s="19"/>
      <c r="Y123" s="19"/>
      <c r="Z123" s="58">
        <f t="shared" si="14"/>
        <v>393.04</v>
      </c>
      <c r="AA123" s="58">
        <f t="shared" si="15"/>
        <v>14.195999999999998</v>
      </c>
      <c r="AB123" s="58">
        <f t="shared" si="16"/>
        <v>286.95999999999998</v>
      </c>
      <c r="AC123" s="58">
        <f t="shared" si="17"/>
        <v>69.804000000000002</v>
      </c>
      <c r="AD123" s="59">
        <f t="shared" si="19"/>
        <v>0.57800000000000007</v>
      </c>
      <c r="AE123" s="59">
        <f t="shared" si="20"/>
        <v>0.83100000000000007</v>
      </c>
      <c r="AF123" s="59">
        <f t="shared" si="21"/>
        <v>0.96514060642968702</v>
      </c>
      <c r="AG123" s="59">
        <f t="shared" si="22"/>
        <v>0.19565875480709938</v>
      </c>
      <c r="AH123" s="59">
        <f t="shared" si="23"/>
        <v>0.60581675392670176</v>
      </c>
    </row>
    <row r="124" spans="1:35" ht="18" customHeight="1" x14ac:dyDescent="0.3">
      <c r="A124" s="56">
        <v>2609</v>
      </c>
      <c r="B124" s="23" t="s">
        <v>546</v>
      </c>
      <c r="C124" s="14">
        <v>2003</v>
      </c>
      <c r="D124" s="18" t="str">
        <f>VLOOKUP(A124, '전체 목록(n=66)'!C:F, 4, FALSE)</f>
        <v>미국</v>
      </c>
      <c r="E124" s="6">
        <v>764</v>
      </c>
      <c r="F124" s="6" t="s">
        <v>106</v>
      </c>
      <c r="G124" s="6">
        <v>680</v>
      </c>
      <c r="H124" s="6" t="s">
        <v>107</v>
      </c>
      <c r="I124" s="6">
        <v>84</v>
      </c>
      <c r="J124" s="6" t="s">
        <v>39</v>
      </c>
      <c r="K124" s="6" t="s">
        <v>165</v>
      </c>
      <c r="L124" s="19"/>
      <c r="M124" s="19"/>
      <c r="N124" s="19"/>
      <c r="O124" s="19"/>
      <c r="P124" s="19">
        <v>71.599999999999994</v>
      </c>
      <c r="Q124" s="19">
        <v>72.8</v>
      </c>
      <c r="R124" s="19"/>
      <c r="S124" s="19"/>
      <c r="T124" s="19"/>
      <c r="U124" s="19"/>
      <c r="V124" s="19"/>
      <c r="W124" s="19"/>
      <c r="X124" s="19"/>
      <c r="Y124" s="19"/>
      <c r="Z124" s="58">
        <f t="shared" si="14"/>
        <v>486.87999999999994</v>
      </c>
      <c r="AA124" s="58">
        <f t="shared" si="15"/>
        <v>22.847999999999999</v>
      </c>
      <c r="AB124" s="58">
        <f t="shared" si="16"/>
        <v>193.12000000000006</v>
      </c>
      <c r="AC124" s="58">
        <f t="shared" si="17"/>
        <v>61.152000000000001</v>
      </c>
      <c r="AD124" s="59">
        <f t="shared" si="19"/>
        <v>0.71599999999999986</v>
      </c>
      <c r="AE124" s="59">
        <f t="shared" si="20"/>
        <v>0.72799999999999998</v>
      </c>
      <c r="AF124" s="59">
        <f t="shared" si="21"/>
        <v>0.95517609391675562</v>
      </c>
      <c r="AG124" s="59">
        <f t="shared" si="22"/>
        <v>0.24049836395670773</v>
      </c>
      <c r="AH124" s="59">
        <f t="shared" si="23"/>
        <v>0.71731937172774862</v>
      </c>
    </row>
    <row r="125" spans="1:35" ht="18" customHeight="1" x14ac:dyDescent="0.3">
      <c r="A125" s="56">
        <v>2609</v>
      </c>
      <c r="B125" s="23" t="s">
        <v>546</v>
      </c>
      <c r="C125" s="14">
        <v>2003</v>
      </c>
      <c r="D125" s="18" t="str">
        <f>VLOOKUP(A125, '전체 목록(n=66)'!C:F, 4, FALSE)</f>
        <v>미국</v>
      </c>
      <c r="E125" s="6">
        <v>764</v>
      </c>
      <c r="F125" s="6" t="s">
        <v>106</v>
      </c>
      <c r="G125" s="6">
        <v>680</v>
      </c>
      <c r="H125" s="6" t="s">
        <v>107</v>
      </c>
      <c r="I125" s="6">
        <v>84</v>
      </c>
      <c r="J125" s="6" t="s">
        <v>51</v>
      </c>
      <c r="K125" s="6" t="s">
        <v>165</v>
      </c>
      <c r="L125" s="19"/>
      <c r="M125" s="19"/>
      <c r="N125" s="19"/>
      <c r="O125" s="19"/>
      <c r="P125" s="19">
        <v>61.5</v>
      </c>
      <c r="Q125" s="19">
        <v>81.599999999999994</v>
      </c>
      <c r="R125" s="19"/>
      <c r="S125" s="19"/>
      <c r="T125" s="19"/>
      <c r="U125" s="19"/>
      <c r="V125" s="19"/>
      <c r="W125" s="19"/>
      <c r="X125" s="19"/>
      <c r="Y125" s="19"/>
      <c r="Z125" s="58">
        <f t="shared" si="14"/>
        <v>418.2</v>
      </c>
      <c r="AA125" s="58">
        <f t="shared" si="15"/>
        <v>15.456000000000003</v>
      </c>
      <c r="AB125" s="58">
        <f t="shared" si="16"/>
        <v>261.8</v>
      </c>
      <c r="AC125" s="58">
        <f t="shared" si="17"/>
        <v>68.543999999999997</v>
      </c>
      <c r="AD125" s="59">
        <f t="shared" si="19"/>
        <v>0.61499999999999999</v>
      </c>
      <c r="AE125" s="59">
        <f t="shared" si="20"/>
        <v>0.81599999999999995</v>
      </c>
      <c r="AF125" s="59">
        <f t="shared" si="21"/>
        <v>0.96435884664342242</v>
      </c>
      <c r="AG125" s="59">
        <f t="shared" si="22"/>
        <v>0.207492795389049</v>
      </c>
      <c r="AH125" s="59">
        <f t="shared" si="23"/>
        <v>0.63709947643979059</v>
      </c>
    </row>
    <row r="126" spans="1:35" ht="18" customHeight="1" x14ac:dyDescent="0.3">
      <c r="A126" s="56">
        <v>2609</v>
      </c>
      <c r="B126" s="23" t="s">
        <v>546</v>
      </c>
      <c r="C126" s="14">
        <v>2003</v>
      </c>
      <c r="D126" s="18" t="str">
        <f>VLOOKUP(A126, '전체 목록(n=66)'!C:F, 4, FALSE)</f>
        <v>미국</v>
      </c>
      <c r="E126" s="6">
        <v>764</v>
      </c>
      <c r="F126" s="6" t="s">
        <v>106</v>
      </c>
      <c r="G126" s="6">
        <v>680</v>
      </c>
      <c r="H126" s="6" t="s">
        <v>107</v>
      </c>
      <c r="I126" s="6">
        <v>84</v>
      </c>
      <c r="J126" s="6" t="s">
        <v>39</v>
      </c>
      <c r="K126" s="6" t="s">
        <v>184</v>
      </c>
      <c r="L126" s="19"/>
      <c r="M126" s="19"/>
      <c r="N126" s="19"/>
      <c r="O126" s="19"/>
      <c r="P126" s="19">
        <v>74.8</v>
      </c>
      <c r="Q126" s="19">
        <v>70.400000000000006</v>
      </c>
      <c r="R126" s="19"/>
      <c r="S126" s="19"/>
      <c r="T126" s="19"/>
      <c r="U126" s="19"/>
      <c r="V126" s="19"/>
      <c r="W126" s="19"/>
      <c r="X126" s="19"/>
      <c r="Y126" s="19"/>
      <c r="Z126" s="58">
        <f t="shared" si="14"/>
        <v>508.64</v>
      </c>
      <c r="AA126" s="58">
        <f t="shared" si="15"/>
        <v>24.863999999999997</v>
      </c>
      <c r="AB126" s="58">
        <f t="shared" si="16"/>
        <v>171.36</v>
      </c>
      <c r="AC126" s="58">
        <f t="shared" si="17"/>
        <v>59.136000000000003</v>
      </c>
      <c r="AD126" s="59">
        <f t="shared" si="19"/>
        <v>0.748</v>
      </c>
      <c r="AE126" s="59">
        <f t="shared" si="20"/>
        <v>0.70400000000000007</v>
      </c>
      <c r="AF126" s="59">
        <f t="shared" si="21"/>
        <v>0.95339491362763906</v>
      </c>
      <c r="AG126" s="59">
        <f t="shared" si="22"/>
        <v>0.2565597667638484</v>
      </c>
      <c r="AH126" s="59">
        <f t="shared" si="23"/>
        <v>0.74316230366492142</v>
      </c>
    </row>
    <row r="127" spans="1:35" ht="18" customHeight="1" x14ac:dyDescent="0.3">
      <c r="A127" s="56">
        <v>2609</v>
      </c>
      <c r="B127" s="23" t="s">
        <v>546</v>
      </c>
      <c r="C127" s="14">
        <v>2003</v>
      </c>
      <c r="D127" s="18" t="str">
        <f>VLOOKUP(A127, '전체 목록(n=66)'!C:F, 4, FALSE)</f>
        <v>미국</v>
      </c>
      <c r="E127" s="6">
        <v>764</v>
      </c>
      <c r="F127" s="6" t="s">
        <v>106</v>
      </c>
      <c r="G127" s="6">
        <v>680</v>
      </c>
      <c r="H127" s="6" t="s">
        <v>107</v>
      </c>
      <c r="I127" s="6">
        <v>84</v>
      </c>
      <c r="J127" s="6" t="s">
        <v>51</v>
      </c>
      <c r="K127" s="6" t="s">
        <v>184</v>
      </c>
      <c r="L127" s="19"/>
      <c r="M127" s="19"/>
      <c r="N127" s="19"/>
      <c r="O127" s="19"/>
      <c r="P127" s="19">
        <v>70.8</v>
      </c>
      <c r="Q127" s="19">
        <v>78.7</v>
      </c>
      <c r="R127" s="19"/>
      <c r="S127" s="19"/>
      <c r="T127" s="19"/>
      <c r="U127" s="19"/>
      <c r="V127" s="19"/>
      <c r="W127" s="19"/>
      <c r="X127" s="19"/>
      <c r="Y127" s="19"/>
      <c r="Z127" s="58">
        <f t="shared" si="14"/>
        <v>481.44</v>
      </c>
      <c r="AA127" s="58">
        <f t="shared" si="15"/>
        <v>17.891999999999996</v>
      </c>
      <c r="AB127" s="58">
        <f t="shared" si="16"/>
        <v>198.56</v>
      </c>
      <c r="AC127" s="58">
        <f t="shared" si="17"/>
        <v>66.108000000000004</v>
      </c>
      <c r="AD127" s="59">
        <f t="shared" si="19"/>
        <v>0.70799999999999996</v>
      </c>
      <c r="AE127" s="59">
        <f t="shared" si="20"/>
        <v>0.78700000000000003</v>
      </c>
      <c r="AF127" s="59">
        <f t="shared" si="21"/>
        <v>0.96416812861983614</v>
      </c>
      <c r="AG127" s="59">
        <f t="shared" si="22"/>
        <v>0.24977707920866898</v>
      </c>
      <c r="AH127" s="59">
        <f t="shared" si="23"/>
        <v>0.71668586387434552</v>
      </c>
    </row>
    <row r="128" spans="1:35" ht="17.25" customHeight="1" x14ac:dyDescent="0.3">
      <c r="A128" s="56">
        <v>2615</v>
      </c>
      <c r="B128" s="23" t="s">
        <v>576</v>
      </c>
      <c r="C128" s="14">
        <v>2003</v>
      </c>
      <c r="D128" s="18" t="str">
        <f>VLOOKUP(A128, '전체 목록(n=66)'!C:F, 4, FALSE)</f>
        <v>일본</v>
      </c>
      <c r="E128" s="6">
        <v>371</v>
      </c>
      <c r="F128" s="6" t="s">
        <v>97</v>
      </c>
      <c r="G128" s="6">
        <v>181</v>
      </c>
      <c r="H128" s="6" t="s">
        <v>98</v>
      </c>
      <c r="I128" s="6">
        <f>371-181</f>
        <v>190</v>
      </c>
      <c r="J128" s="6" t="s">
        <v>39</v>
      </c>
      <c r="K128" s="6" t="s">
        <v>189</v>
      </c>
      <c r="L128" s="19"/>
      <c r="M128" s="19"/>
      <c r="N128" s="19"/>
      <c r="O128" s="19"/>
      <c r="P128" s="19">
        <v>38</v>
      </c>
      <c r="Q128" s="19">
        <v>71</v>
      </c>
      <c r="R128" s="19"/>
      <c r="S128" s="19"/>
      <c r="T128" s="19"/>
      <c r="U128" s="19"/>
      <c r="V128" s="19"/>
      <c r="W128" s="19"/>
      <c r="X128" s="19"/>
      <c r="Y128" s="19"/>
      <c r="Z128" s="58">
        <f t="shared" si="14"/>
        <v>68.78</v>
      </c>
      <c r="AA128" s="58">
        <f t="shared" si="15"/>
        <v>55.099999999999994</v>
      </c>
      <c r="AB128" s="58">
        <f t="shared" si="16"/>
        <v>112.22</v>
      </c>
      <c r="AC128" s="58">
        <f t="shared" si="17"/>
        <v>134.9</v>
      </c>
      <c r="AD128" s="59">
        <f t="shared" si="19"/>
        <v>0.38</v>
      </c>
      <c r="AE128" s="59">
        <f t="shared" si="20"/>
        <v>0.71000000000000008</v>
      </c>
      <c r="AF128" s="59">
        <f t="shared" si="21"/>
        <v>0.55521472392638038</v>
      </c>
      <c r="AG128" s="59">
        <f t="shared" si="22"/>
        <v>0.54588863709938495</v>
      </c>
      <c r="AH128" s="59">
        <f t="shared" si="23"/>
        <v>0.54900269541778979</v>
      </c>
      <c r="AI128" s="19"/>
    </row>
    <row r="129" spans="1:35" ht="18" customHeight="1" x14ac:dyDescent="0.3">
      <c r="A129" s="56">
        <v>2615</v>
      </c>
      <c r="B129" s="23" t="s">
        <v>576</v>
      </c>
      <c r="C129" s="14">
        <v>2003</v>
      </c>
      <c r="D129" s="18" t="str">
        <f>VLOOKUP(A129, '전체 목록(n=66)'!C:F, 4, FALSE)</f>
        <v>일본</v>
      </c>
      <c r="E129" s="6">
        <v>371</v>
      </c>
      <c r="F129" s="6" t="s">
        <v>97</v>
      </c>
      <c r="G129" s="6">
        <v>181</v>
      </c>
      <c r="H129" s="6" t="s">
        <v>98</v>
      </c>
      <c r="I129" s="6">
        <f>371-181</f>
        <v>190</v>
      </c>
      <c r="J129" s="6" t="s">
        <v>121</v>
      </c>
      <c r="K129" s="6" t="s">
        <v>189</v>
      </c>
      <c r="L129" s="19"/>
      <c r="M129" s="19"/>
      <c r="N129" s="19"/>
      <c r="O129" s="19"/>
      <c r="P129" s="19">
        <v>22</v>
      </c>
      <c r="Q129" s="19">
        <v>94</v>
      </c>
      <c r="R129" s="19"/>
      <c r="S129" s="19"/>
      <c r="T129" s="19"/>
      <c r="U129" s="19"/>
      <c r="V129" s="19"/>
      <c r="W129" s="19"/>
      <c r="X129" s="19"/>
      <c r="Y129" s="19"/>
      <c r="Z129" s="58">
        <f t="shared" si="14"/>
        <v>39.82</v>
      </c>
      <c r="AA129" s="58">
        <f t="shared" si="15"/>
        <v>11.400000000000006</v>
      </c>
      <c r="AB129" s="58">
        <f t="shared" si="16"/>
        <v>141.18</v>
      </c>
      <c r="AC129" s="58">
        <f t="shared" si="17"/>
        <v>178.6</v>
      </c>
      <c r="AD129" s="59">
        <f t="shared" si="19"/>
        <v>0.22</v>
      </c>
      <c r="AE129" s="59">
        <f t="shared" si="20"/>
        <v>0.94</v>
      </c>
      <c r="AF129" s="59">
        <f t="shared" si="21"/>
        <v>0.77743069113627483</v>
      </c>
      <c r="AG129" s="59">
        <f t="shared" si="22"/>
        <v>0.55850897492025775</v>
      </c>
      <c r="AH129" s="59">
        <f t="shared" si="23"/>
        <v>0.58873315363881396</v>
      </c>
      <c r="AI129" s="19"/>
    </row>
    <row r="130" spans="1:35" ht="18" customHeight="1" x14ac:dyDescent="0.3">
      <c r="A130" s="15">
        <v>2667</v>
      </c>
      <c r="B130" s="23" t="s">
        <v>577</v>
      </c>
      <c r="C130" s="14">
        <v>2003</v>
      </c>
      <c r="D130" s="18" t="str">
        <f>VLOOKUP(A130, '전체 목록(n=66)'!C:F, 4, FALSE)</f>
        <v>일본</v>
      </c>
      <c r="E130" s="2">
        <v>133</v>
      </c>
      <c r="F130" s="2" t="s">
        <v>97</v>
      </c>
      <c r="G130" s="2">
        <v>58</v>
      </c>
      <c r="H130" s="2" t="s">
        <v>98</v>
      </c>
      <c r="I130" s="2">
        <f>133-58</f>
        <v>75</v>
      </c>
      <c r="J130" s="2" t="s">
        <v>39</v>
      </c>
      <c r="K130" s="65" t="s">
        <v>616</v>
      </c>
      <c r="P130" s="1">
        <v>84.5</v>
      </c>
      <c r="Q130" s="1">
        <v>80</v>
      </c>
      <c r="R130" s="1">
        <v>81</v>
      </c>
      <c r="S130" s="1">
        <v>53</v>
      </c>
      <c r="T130" s="1">
        <v>4.22</v>
      </c>
      <c r="U130" s="1">
        <v>0.19</v>
      </c>
      <c r="Z130" s="17">
        <f t="shared" si="14"/>
        <v>49.01</v>
      </c>
      <c r="AA130" s="17">
        <f t="shared" si="15"/>
        <v>15</v>
      </c>
      <c r="AB130" s="17">
        <f t="shared" si="16"/>
        <v>8.990000000000002</v>
      </c>
      <c r="AC130" s="17">
        <f t="shared" si="17"/>
        <v>60</v>
      </c>
      <c r="AD130" s="24">
        <f t="shared" si="19"/>
        <v>0.84499999999999997</v>
      </c>
      <c r="AE130" s="24">
        <f t="shared" si="20"/>
        <v>0.8</v>
      </c>
      <c r="AF130" s="24">
        <f t="shared" si="21"/>
        <v>0.76566161537259814</v>
      </c>
      <c r="AG130" s="24">
        <f t="shared" si="22"/>
        <v>0.86969125960284088</v>
      </c>
      <c r="AH130" s="24">
        <f t="shared" si="23"/>
        <v>0.81962406015037592</v>
      </c>
    </row>
    <row r="131" spans="1:35" ht="18" customHeight="1" x14ac:dyDescent="0.3">
      <c r="A131" s="15">
        <v>2667</v>
      </c>
      <c r="B131" s="23" t="s">
        <v>577</v>
      </c>
      <c r="C131" s="14">
        <v>2003</v>
      </c>
      <c r="D131" s="18" t="str">
        <f>VLOOKUP(A131, '전체 목록(n=66)'!C:F, 4, FALSE)</f>
        <v>일본</v>
      </c>
      <c r="E131" s="2">
        <v>133</v>
      </c>
      <c r="F131" s="2" t="s">
        <v>97</v>
      </c>
      <c r="G131" s="2">
        <v>58</v>
      </c>
      <c r="H131" s="2" t="s">
        <v>98</v>
      </c>
      <c r="I131" s="2">
        <f>133-58</f>
        <v>75</v>
      </c>
      <c r="J131" s="2" t="s">
        <v>121</v>
      </c>
      <c r="K131" s="65" t="s">
        <v>616</v>
      </c>
      <c r="P131" s="1">
        <v>70.7</v>
      </c>
      <c r="Q131" s="1">
        <v>81.3</v>
      </c>
      <c r="R131" s="1">
        <v>89</v>
      </c>
      <c r="S131" s="1">
        <v>47</v>
      </c>
      <c r="T131" s="1">
        <v>3.79</v>
      </c>
      <c r="U131" s="1">
        <v>0.36</v>
      </c>
      <c r="Z131" s="17">
        <f t="shared" si="14"/>
        <v>41.006</v>
      </c>
      <c r="AA131" s="17">
        <f t="shared" si="15"/>
        <v>14.024999999999999</v>
      </c>
      <c r="AB131" s="17">
        <f t="shared" si="16"/>
        <v>16.994</v>
      </c>
      <c r="AC131" s="17">
        <f t="shared" si="17"/>
        <v>60.975000000000001</v>
      </c>
      <c r="AD131" s="24">
        <f t="shared" si="19"/>
        <v>0.70699999999999996</v>
      </c>
      <c r="AE131" s="24">
        <f t="shared" si="20"/>
        <v>0.81300000000000006</v>
      </c>
      <c r="AF131" s="24">
        <f t="shared" si="21"/>
        <v>0.74514364630844432</v>
      </c>
      <c r="AG131" s="24">
        <f t="shared" si="22"/>
        <v>0.78204158062819851</v>
      </c>
      <c r="AH131" s="24">
        <f t="shared" si="23"/>
        <v>0.76677443609022555</v>
      </c>
    </row>
    <row r="132" spans="1:35" ht="18" customHeight="1" x14ac:dyDescent="0.3">
      <c r="A132" s="56">
        <v>2722</v>
      </c>
      <c r="B132" s="23" t="s">
        <v>602</v>
      </c>
      <c r="C132" s="14">
        <v>2002</v>
      </c>
      <c r="D132" s="18" t="str">
        <f>VLOOKUP(A132, '전체 목록(n=66)'!C:F, 4, FALSE)</f>
        <v>싱가포르</v>
      </c>
      <c r="E132" s="6">
        <f t="shared" ref="E132:E159" si="26">G132+I132</f>
        <v>37</v>
      </c>
      <c r="F132" s="6" t="s">
        <v>97</v>
      </c>
      <c r="G132" s="6">
        <v>20</v>
      </c>
      <c r="H132" s="6" t="s">
        <v>98</v>
      </c>
      <c r="I132" s="6">
        <v>17</v>
      </c>
      <c r="J132" s="6" t="s">
        <v>39</v>
      </c>
      <c r="K132" s="6" t="s">
        <v>167</v>
      </c>
      <c r="L132" s="19"/>
      <c r="M132" s="19"/>
      <c r="N132" s="19"/>
      <c r="O132" s="19"/>
      <c r="P132" s="19">
        <v>100</v>
      </c>
      <c r="Q132" s="19">
        <v>100</v>
      </c>
      <c r="R132" s="19"/>
      <c r="S132" s="19"/>
      <c r="T132" s="19"/>
      <c r="U132" s="19"/>
      <c r="V132" s="19"/>
      <c r="W132" s="19"/>
      <c r="X132" s="19"/>
      <c r="Y132" s="19"/>
      <c r="Z132" s="58">
        <f t="shared" ref="Z132:Z195" si="27">G132*P132/100</f>
        <v>20</v>
      </c>
      <c r="AA132" s="58">
        <f t="shared" ref="AA132:AA195" si="28">I132-AC132</f>
        <v>0</v>
      </c>
      <c r="AB132" s="58">
        <f t="shared" ref="AB132:AB195" si="29">G132-Z132</f>
        <v>0</v>
      </c>
      <c r="AC132" s="58">
        <f t="shared" ref="AC132:AC195" si="30">I132*Q132/100</f>
        <v>17</v>
      </c>
      <c r="AD132" s="59">
        <f t="shared" si="19"/>
        <v>1</v>
      </c>
      <c r="AE132" s="59">
        <f t="shared" si="20"/>
        <v>1</v>
      </c>
      <c r="AF132" s="59">
        <f t="shared" si="21"/>
        <v>1</v>
      </c>
      <c r="AG132" s="59">
        <f t="shared" si="22"/>
        <v>1</v>
      </c>
      <c r="AH132" s="59">
        <f t="shared" si="23"/>
        <v>1</v>
      </c>
      <c r="AI132" s="19"/>
    </row>
    <row r="133" spans="1:35" ht="18" customHeight="1" x14ac:dyDescent="0.3">
      <c r="A133" s="56">
        <v>2722</v>
      </c>
      <c r="B133" s="23" t="s">
        <v>602</v>
      </c>
      <c r="C133" s="14">
        <v>2002</v>
      </c>
      <c r="D133" s="18" t="str">
        <f>VLOOKUP(A133, '전체 목록(n=66)'!C:F, 4, FALSE)</f>
        <v>싱가포르</v>
      </c>
      <c r="E133" s="6">
        <f t="shared" si="26"/>
        <v>37</v>
      </c>
      <c r="F133" s="6" t="s">
        <v>97</v>
      </c>
      <c r="G133" s="6">
        <v>20</v>
      </c>
      <c r="H133" s="6" t="s">
        <v>98</v>
      </c>
      <c r="I133" s="6">
        <v>17</v>
      </c>
      <c r="J133" s="6" t="s">
        <v>174</v>
      </c>
      <c r="K133" s="6" t="s">
        <v>167</v>
      </c>
      <c r="L133" s="19"/>
      <c r="M133" s="19"/>
      <c r="N133" s="19"/>
      <c r="O133" s="19"/>
      <c r="P133" s="19">
        <v>56</v>
      </c>
      <c r="Q133" s="19">
        <v>93</v>
      </c>
      <c r="R133" s="19"/>
      <c r="S133" s="19"/>
      <c r="T133" s="19"/>
      <c r="U133" s="19"/>
      <c r="V133" s="19"/>
      <c r="W133" s="19"/>
      <c r="X133" s="19"/>
      <c r="Y133" s="19"/>
      <c r="Z133" s="58">
        <f t="shared" si="27"/>
        <v>11.2</v>
      </c>
      <c r="AA133" s="58">
        <f t="shared" si="28"/>
        <v>1.1899999999999995</v>
      </c>
      <c r="AB133" s="58">
        <f t="shared" si="29"/>
        <v>8.8000000000000007</v>
      </c>
      <c r="AC133" s="58">
        <f t="shared" si="30"/>
        <v>15.81</v>
      </c>
      <c r="AD133" s="59">
        <f t="shared" si="19"/>
        <v>0.55999999999999994</v>
      </c>
      <c r="AE133" s="59">
        <f t="shared" si="20"/>
        <v>0.93</v>
      </c>
      <c r="AF133" s="59">
        <f t="shared" si="21"/>
        <v>0.903954802259887</v>
      </c>
      <c r="AG133" s="59">
        <f t="shared" si="22"/>
        <v>0.64242177976432346</v>
      </c>
      <c r="AH133" s="59">
        <f t="shared" si="23"/>
        <v>0.73</v>
      </c>
      <c r="AI133" s="19"/>
    </row>
    <row r="134" spans="1:35" ht="18" customHeight="1" x14ac:dyDescent="0.3">
      <c r="A134" s="56">
        <v>2722</v>
      </c>
      <c r="B134" s="23" t="s">
        <v>602</v>
      </c>
      <c r="C134" s="14">
        <v>2002</v>
      </c>
      <c r="D134" s="18" t="str">
        <f>VLOOKUP(A134, '전체 목록(n=66)'!C:F, 4, FALSE)</f>
        <v>싱가포르</v>
      </c>
      <c r="E134" s="6">
        <f t="shared" si="26"/>
        <v>37</v>
      </c>
      <c r="F134" s="6" t="s">
        <v>97</v>
      </c>
      <c r="G134" s="6">
        <v>20</v>
      </c>
      <c r="H134" s="6" t="s">
        <v>98</v>
      </c>
      <c r="I134" s="6">
        <v>17</v>
      </c>
      <c r="J134" s="6" t="s">
        <v>39</v>
      </c>
      <c r="K134" s="6" t="s">
        <v>473</v>
      </c>
      <c r="L134" s="19"/>
      <c r="M134" s="19"/>
      <c r="N134" s="19"/>
      <c r="O134" s="19"/>
      <c r="P134" s="19">
        <v>100</v>
      </c>
      <c r="Q134" s="19">
        <v>93</v>
      </c>
      <c r="R134" s="19"/>
      <c r="S134" s="19"/>
      <c r="T134" s="19"/>
      <c r="U134" s="19"/>
      <c r="V134" s="19"/>
      <c r="W134" s="19"/>
      <c r="X134" s="19"/>
      <c r="Y134" s="19"/>
      <c r="Z134" s="58">
        <f t="shared" si="27"/>
        <v>20</v>
      </c>
      <c r="AA134" s="58">
        <f t="shared" si="28"/>
        <v>1.1899999999999995</v>
      </c>
      <c r="AB134" s="58">
        <f t="shared" si="29"/>
        <v>0</v>
      </c>
      <c r="AC134" s="58">
        <f t="shared" si="30"/>
        <v>15.81</v>
      </c>
      <c r="AD134" s="59">
        <f t="shared" si="19"/>
        <v>1</v>
      </c>
      <c r="AE134" s="59">
        <f t="shared" si="20"/>
        <v>0.93</v>
      </c>
      <c r="AF134" s="59">
        <f t="shared" si="21"/>
        <v>0.94384143463898074</v>
      </c>
      <c r="AG134" s="59">
        <f t="shared" si="22"/>
        <v>1</v>
      </c>
      <c r="AH134" s="59">
        <f t="shared" si="23"/>
        <v>0.96783783783783794</v>
      </c>
      <c r="AI134" s="19"/>
    </row>
    <row r="135" spans="1:35" ht="18" customHeight="1" x14ac:dyDescent="0.3">
      <c r="A135" s="56">
        <v>2722</v>
      </c>
      <c r="B135" s="23" t="s">
        <v>602</v>
      </c>
      <c r="C135" s="14">
        <v>2002</v>
      </c>
      <c r="D135" s="18" t="str">
        <f>VLOOKUP(A135, '전체 목록(n=66)'!C:F, 4, FALSE)</f>
        <v>싱가포르</v>
      </c>
      <c r="E135" s="6">
        <f t="shared" si="26"/>
        <v>37</v>
      </c>
      <c r="F135" s="6" t="s">
        <v>97</v>
      </c>
      <c r="G135" s="6">
        <v>20</v>
      </c>
      <c r="H135" s="6" t="s">
        <v>98</v>
      </c>
      <c r="I135" s="6">
        <v>17</v>
      </c>
      <c r="J135" s="6" t="s">
        <v>174</v>
      </c>
      <c r="K135" s="6" t="s">
        <v>473</v>
      </c>
      <c r="L135" s="19"/>
      <c r="M135" s="19"/>
      <c r="N135" s="19"/>
      <c r="O135" s="19"/>
      <c r="P135" s="19">
        <v>100</v>
      </c>
      <c r="Q135" s="19">
        <v>78</v>
      </c>
      <c r="R135" s="19"/>
      <c r="S135" s="19"/>
      <c r="T135" s="19"/>
      <c r="U135" s="19"/>
      <c r="V135" s="19"/>
      <c r="W135" s="19"/>
      <c r="X135" s="19"/>
      <c r="Y135" s="19"/>
      <c r="Z135" s="58">
        <f t="shared" si="27"/>
        <v>20</v>
      </c>
      <c r="AA135" s="58">
        <f t="shared" si="28"/>
        <v>3.74</v>
      </c>
      <c r="AB135" s="58">
        <f t="shared" si="29"/>
        <v>0</v>
      </c>
      <c r="AC135" s="58">
        <f t="shared" si="30"/>
        <v>13.26</v>
      </c>
      <c r="AD135" s="59">
        <f t="shared" si="19"/>
        <v>1</v>
      </c>
      <c r="AE135" s="59">
        <f t="shared" si="20"/>
        <v>0.78</v>
      </c>
      <c r="AF135" s="59">
        <f t="shared" si="21"/>
        <v>0.84245998315080028</v>
      </c>
      <c r="AG135" s="59">
        <f t="shared" si="22"/>
        <v>1</v>
      </c>
      <c r="AH135" s="59">
        <f t="shared" si="23"/>
        <v>0.89891891891891884</v>
      </c>
      <c r="AI135" s="19"/>
    </row>
    <row r="136" spans="1:35" ht="18" customHeight="1" x14ac:dyDescent="0.3">
      <c r="A136" s="56">
        <v>2760</v>
      </c>
      <c r="B136" s="23" t="s">
        <v>578</v>
      </c>
      <c r="C136" s="14">
        <v>2002</v>
      </c>
      <c r="D136" s="18" t="str">
        <f>VLOOKUP(A136, '전체 목록(n=66)'!C:F, 4, FALSE)</f>
        <v>네덜란드</v>
      </c>
      <c r="E136" s="6">
        <f t="shared" si="26"/>
        <v>181</v>
      </c>
      <c r="F136" s="6" t="s">
        <v>203</v>
      </c>
      <c r="G136" s="6">
        <v>14</v>
      </c>
      <c r="H136" s="6" t="s">
        <v>204</v>
      </c>
      <c r="I136" s="6">
        <v>167</v>
      </c>
      <c r="J136" s="6" t="s">
        <v>39</v>
      </c>
      <c r="K136" s="6" t="s">
        <v>167</v>
      </c>
      <c r="L136" s="19"/>
      <c r="M136" s="19"/>
      <c r="N136" s="19"/>
      <c r="O136" s="19"/>
      <c r="P136" s="19">
        <v>60</v>
      </c>
      <c r="Q136" s="19">
        <v>59.3</v>
      </c>
      <c r="R136" s="19">
        <v>9.5</v>
      </c>
      <c r="S136" s="19">
        <v>95.4</v>
      </c>
      <c r="T136" s="19"/>
      <c r="U136" s="19"/>
      <c r="V136" s="19"/>
      <c r="W136" s="19">
        <v>0.65</v>
      </c>
      <c r="X136" s="19"/>
      <c r="Y136" s="19"/>
      <c r="Z136" s="58">
        <f t="shared" si="27"/>
        <v>8.4</v>
      </c>
      <c r="AA136" s="58">
        <f t="shared" si="28"/>
        <v>67.968999999999994</v>
      </c>
      <c r="AB136" s="58">
        <f t="shared" si="29"/>
        <v>5.6</v>
      </c>
      <c r="AC136" s="58">
        <f t="shared" si="30"/>
        <v>99.031000000000006</v>
      </c>
      <c r="AD136" s="59">
        <f t="shared" ref="AD136:AD195" si="31">Z136/(Z136+AB136)</f>
        <v>0.6</v>
      </c>
      <c r="AE136" s="59">
        <f t="shared" ref="AE136:AE195" si="32">AC136/(AA136+AC136)</f>
        <v>0.59300000000000008</v>
      </c>
      <c r="AF136" s="59">
        <f t="shared" ref="AF136:AF195" si="33">Z136/(Z136+AA136)</f>
        <v>0.10999227435215861</v>
      </c>
      <c r="AG136" s="59">
        <f t="shared" ref="AG136:AG195" si="34">AC136/(AB136+AC136)</f>
        <v>0.94647857709474248</v>
      </c>
      <c r="AH136" s="59">
        <f t="shared" ref="AH136:AH195" si="35">(Z136+AC136)/(Z136+AA136+AB136+AC136)</f>
        <v>0.59354143646408841</v>
      </c>
      <c r="AI136" s="19"/>
    </row>
    <row r="137" spans="1:35" ht="18" customHeight="1" x14ac:dyDescent="0.3">
      <c r="A137" s="56">
        <v>2760</v>
      </c>
      <c r="B137" s="23" t="s">
        <v>578</v>
      </c>
      <c r="C137" s="14">
        <v>2002</v>
      </c>
      <c r="D137" s="18" t="str">
        <f>VLOOKUP(A137, '전체 목록(n=66)'!C:F, 4, FALSE)</f>
        <v>네덜란드</v>
      </c>
      <c r="E137" s="6">
        <f t="shared" si="26"/>
        <v>181</v>
      </c>
      <c r="F137" s="6" t="s">
        <v>203</v>
      </c>
      <c r="G137" s="6">
        <v>14</v>
      </c>
      <c r="H137" s="6" t="s">
        <v>204</v>
      </c>
      <c r="I137" s="6">
        <v>167</v>
      </c>
      <c r="J137" s="6" t="s">
        <v>121</v>
      </c>
      <c r="K137" s="6" t="s">
        <v>167</v>
      </c>
      <c r="L137" s="19"/>
      <c r="M137" s="19"/>
      <c r="N137" s="19"/>
      <c r="O137" s="19"/>
      <c r="P137" s="19">
        <v>53.8</v>
      </c>
      <c r="Q137" s="19">
        <v>53.3</v>
      </c>
      <c r="R137" s="19">
        <v>8.1999999999999993</v>
      </c>
      <c r="S137" s="19">
        <v>93.7</v>
      </c>
      <c r="T137" s="19"/>
      <c r="U137" s="19"/>
      <c r="V137" s="19"/>
      <c r="W137" s="19">
        <v>0.59</v>
      </c>
      <c r="X137" s="19"/>
      <c r="Y137" s="19"/>
      <c r="Z137" s="58">
        <f t="shared" si="27"/>
        <v>7.5319999999999991</v>
      </c>
      <c r="AA137" s="58">
        <f t="shared" si="28"/>
        <v>77.98899999999999</v>
      </c>
      <c r="AB137" s="58">
        <f t="shared" si="29"/>
        <v>6.4680000000000009</v>
      </c>
      <c r="AC137" s="58">
        <f t="shared" si="30"/>
        <v>89.01100000000001</v>
      </c>
      <c r="AD137" s="59">
        <f t="shared" si="31"/>
        <v>0.53799999999999992</v>
      </c>
      <c r="AE137" s="59">
        <f t="shared" si="32"/>
        <v>0.53300000000000003</v>
      </c>
      <c r="AF137" s="59">
        <f t="shared" si="33"/>
        <v>8.8071935547994057E-2</v>
      </c>
      <c r="AG137" s="59">
        <f t="shared" si="34"/>
        <v>0.93225735502047569</v>
      </c>
      <c r="AH137" s="59">
        <f t="shared" si="35"/>
        <v>0.53338674033149169</v>
      </c>
      <c r="AI137" s="19"/>
    </row>
    <row r="138" spans="1:35" ht="18" customHeight="1" x14ac:dyDescent="0.3">
      <c r="A138" s="56">
        <v>2760</v>
      </c>
      <c r="B138" s="23" t="s">
        <v>578</v>
      </c>
      <c r="C138" s="14">
        <v>2002</v>
      </c>
      <c r="D138" s="18" t="str">
        <f>VLOOKUP(A138, '전체 목록(n=66)'!C:F, 4, FALSE)</f>
        <v>네덜란드</v>
      </c>
      <c r="E138" s="6">
        <f t="shared" si="26"/>
        <v>181</v>
      </c>
      <c r="F138" s="6" t="s">
        <v>203</v>
      </c>
      <c r="G138" s="6">
        <v>14</v>
      </c>
      <c r="H138" s="6" t="s">
        <v>204</v>
      </c>
      <c r="I138" s="6">
        <v>167</v>
      </c>
      <c r="J138" s="6" t="s">
        <v>39</v>
      </c>
      <c r="K138" s="6" t="s">
        <v>168</v>
      </c>
      <c r="L138" s="19"/>
      <c r="M138" s="19"/>
      <c r="N138" s="19"/>
      <c r="O138" s="19"/>
      <c r="P138" s="19">
        <v>70</v>
      </c>
      <c r="Q138" s="19">
        <v>67.599999999999994</v>
      </c>
      <c r="R138" s="19">
        <v>13.2</v>
      </c>
      <c r="S138" s="19">
        <v>97</v>
      </c>
      <c r="T138" s="19"/>
      <c r="U138" s="19"/>
      <c r="V138" s="19"/>
      <c r="W138" s="19">
        <v>0.78</v>
      </c>
      <c r="X138" s="19"/>
      <c r="Y138" s="19"/>
      <c r="Z138" s="58">
        <f t="shared" si="27"/>
        <v>9.8000000000000007</v>
      </c>
      <c r="AA138" s="58">
        <f t="shared" si="28"/>
        <v>54.108000000000004</v>
      </c>
      <c r="AB138" s="58">
        <f t="shared" si="29"/>
        <v>4.1999999999999993</v>
      </c>
      <c r="AC138" s="58">
        <f t="shared" si="30"/>
        <v>112.892</v>
      </c>
      <c r="AD138" s="59">
        <f t="shared" si="31"/>
        <v>0.70000000000000007</v>
      </c>
      <c r="AE138" s="59">
        <f t="shared" si="32"/>
        <v>0.67599999999999993</v>
      </c>
      <c r="AF138" s="59">
        <f t="shared" si="33"/>
        <v>0.15334543406146336</v>
      </c>
      <c r="AG138" s="59">
        <f t="shared" si="34"/>
        <v>0.96413076896799099</v>
      </c>
      <c r="AH138" s="59">
        <f t="shared" si="35"/>
        <v>0.67785635359116014</v>
      </c>
      <c r="AI138" s="19"/>
    </row>
    <row r="139" spans="1:35" ht="18" customHeight="1" x14ac:dyDescent="0.3">
      <c r="A139" s="56">
        <v>2760</v>
      </c>
      <c r="B139" s="23" t="s">
        <v>578</v>
      </c>
      <c r="C139" s="14">
        <v>2002</v>
      </c>
      <c r="D139" s="18" t="str">
        <f>VLOOKUP(A139, '전체 목록(n=66)'!C:F, 4, FALSE)</f>
        <v>네덜란드</v>
      </c>
      <c r="E139" s="6">
        <f t="shared" si="26"/>
        <v>181</v>
      </c>
      <c r="F139" s="6" t="s">
        <v>203</v>
      </c>
      <c r="G139" s="6">
        <v>14</v>
      </c>
      <c r="H139" s="6" t="s">
        <v>204</v>
      </c>
      <c r="I139" s="6">
        <v>167</v>
      </c>
      <c r="J139" s="6" t="s">
        <v>39</v>
      </c>
      <c r="K139" s="6" t="s">
        <v>199</v>
      </c>
      <c r="L139" s="19"/>
      <c r="M139" s="19"/>
      <c r="N139" s="19"/>
      <c r="O139" s="19"/>
      <c r="P139" s="19">
        <v>70</v>
      </c>
      <c r="Q139" s="19">
        <v>74.599999999999994</v>
      </c>
      <c r="R139" s="19">
        <v>16.3</v>
      </c>
      <c r="S139" s="19">
        <v>97.2</v>
      </c>
      <c r="T139" s="19"/>
      <c r="U139" s="19"/>
      <c r="V139" s="19"/>
      <c r="W139" s="19">
        <v>0.85</v>
      </c>
      <c r="X139" s="19"/>
      <c r="Y139" s="19"/>
      <c r="Z139" s="58">
        <f t="shared" si="27"/>
        <v>9.8000000000000007</v>
      </c>
      <c r="AA139" s="58">
        <f t="shared" si="28"/>
        <v>42.418000000000006</v>
      </c>
      <c r="AB139" s="58">
        <f t="shared" si="29"/>
        <v>4.1999999999999993</v>
      </c>
      <c r="AC139" s="58">
        <f t="shared" si="30"/>
        <v>124.58199999999999</v>
      </c>
      <c r="AD139" s="59">
        <f t="shared" si="31"/>
        <v>0.70000000000000007</v>
      </c>
      <c r="AE139" s="59">
        <f t="shared" si="32"/>
        <v>0.746</v>
      </c>
      <c r="AF139" s="59">
        <f t="shared" si="33"/>
        <v>0.18767474817112872</v>
      </c>
      <c r="AG139" s="59">
        <f t="shared" si="34"/>
        <v>0.96738674659502111</v>
      </c>
      <c r="AH139" s="59">
        <f t="shared" si="35"/>
        <v>0.74244198895027624</v>
      </c>
      <c r="AI139" s="19"/>
    </row>
    <row r="140" spans="1:35" ht="18" customHeight="1" x14ac:dyDescent="0.3">
      <c r="A140" s="56">
        <v>2760</v>
      </c>
      <c r="B140" s="23" t="s">
        <v>578</v>
      </c>
      <c r="C140" s="14">
        <v>2002</v>
      </c>
      <c r="D140" s="18" t="str">
        <f>VLOOKUP(A140, '전체 목록(n=66)'!C:F, 4, FALSE)</f>
        <v>네덜란드</v>
      </c>
      <c r="E140" s="6">
        <f t="shared" si="26"/>
        <v>181</v>
      </c>
      <c r="F140" s="6" t="s">
        <v>203</v>
      </c>
      <c r="G140" s="6">
        <v>14</v>
      </c>
      <c r="H140" s="6" t="s">
        <v>204</v>
      </c>
      <c r="I140" s="6">
        <v>167</v>
      </c>
      <c r="J140" s="6" t="s">
        <v>39</v>
      </c>
      <c r="K140" s="6" t="s">
        <v>205</v>
      </c>
      <c r="L140" s="19"/>
      <c r="M140" s="19"/>
      <c r="N140" s="19"/>
      <c r="O140" s="19"/>
      <c r="P140" s="19">
        <v>80</v>
      </c>
      <c r="Q140" s="19">
        <v>80.400000000000006</v>
      </c>
      <c r="R140" s="19">
        <v>22.2</v>
      </c>
      <c r="S140" s="19">
        <v>98.3</v>
      </c>
      <c r="T140" s="19"/>
      <c r="U140" s="19"/>
      <c r="V140" s="19"/>
      <c r="W140" s="19">
        <v>0.9</v>
      </c>
      <c r="X140" s="19"/>
      <c r="Y140" s="19"/>
      <c r="Z140" s="58">
        <f t="shared" si="27"/>
        <v>11.2</v>
      </c>
      <c r="AA140" s="58">
        <f t="shared" si="28"/>
        <v>32.731999999999999</v>
      </c>
      <c r="AB140" s="58">
        <f t="shared" si="29"/>
        <v>2.8000000000000007</v>
      </c>
      <c r="AC140" s="58">
        <f t="shared" si="30"/>
        <v>134.268</v>
      </c>
      <c r="AD140" s="59">
        <f t="shared" si="31"/>
        <v>0.79999999999999993</v>
      </c>
      <c r="AE140" s="59">
        <f t="shared" si="32"/>
        <v>0.80400000000000005</v>
      </c>
      <c r="AF140" s="59">
        <f t="shared" si="33"/>
        <v>0.25493945188017841</v>
      </c>
      <c r="AG140" s="59">
        <f t="shared" si="34"/>
        <v>0.9795721831499693</v>
      </c>
      <c r="AH140" s="59">
        <f t="shared" si="35"/>
        <v>0.80369060773480661</v>
      </c>
      <c r="AI140" s="19"/>
    </row>
    <row r="141" spans="1:35" ht="18" customHeight="1" x14ac:dyDescent="0.3">
      <c r="A141" s="56">
        <v>2760</v>
      </c>
      <c r="B141" s="23" t="s">
        <v>578</v>
      </c>
      <c r="C141" s="14">
        <v>2002</v>
      </c>
      <c r="D141" s="18" t="str">
        <f>VLOOKUP(A141, '전체 목록(n=66)'!C:F, 4, FALSE)</f>
        <v>네덜란드</v>
      </c>
      <c r="E141" s="6">
        <f t="shared" si="26"/>
        <v>181</v>
      </c>
      <c r="F141" s="6" t="s">
        <v>203</v>
      </c>
      <c r="G141" s="6">
        <v>14</v>
      </c>
      <c r="H141" s="6" t="s">
        <v>204</v>
      </c>
      <c r="I141" s="6">
        <v>167</v>
      </c>
      <c r="J141" s="6" t="s">
        <v>121</v>
      </c>
      <c r="K141" s="6" t="s">
        <v>205</v>
      </c>
      <c r="L141" s="19"/>
      <c r="M141" s="19"/>
      <c r="N141" s="19"/>
      <c r="O141" s="19"/>
      <c r="P141" s="19">
        <v>76.900000000000006</v>
      </c>
      <c r="Q141" s="19">
        <v>72.7</v>
      </c>
      <c r="R141" s="19">
        <v>18.2</v>
      </c>
      <c r="S141" s="19">
        <v>97.6</v>
      </c>
      <c r="T141" s="19"/>
      <c r="U141" s="19"/>
      <c r="V141" s="19"/>
      <c r="W141" s="19">
        <v>0.73</v>
      </c>
      <c r="X141" s="19"/>
      <c r="Y141" s="19"/>
      <c r="Z141" s="58">
        <f t="shared" si="27"/>
        <v>10.766000000000002</v>
      </c>
      <c r="AA141" s="58">
        <f t="shared" si="28"/>
        <v>45.591000000000008</v>
      </c>
      <c r="AB141" s="58">
        <f t="shared" si="29"/>
        <v>3.2339999999999982</v>
      </c>
      <c r="AC141" s="58">
        <f t="shared" si="30"/>
        <v>121.40899999999999</v>
      </c>
      <c r="AD141" s="59">
        <f t="shared" si="31"/>
        <v>0.76900000000000013</v>
      </c>
      <c r="AE141" s="59">
        <f t="shared" si="32"/>
        <v>0.72699999999999998</v>
      </c>
      <c r="AF141" s="59">
        <f t="shared" si="33"/>
        <v>0.19103216991678051</v>
      </c>
      <c r="AG141" s="59">
        <f t="shared" si="34"/>
        <v>0.97405389793249519</v>
      </c>
      <c r="AH141" s="59">
        <f t="shared" si="35"/>
        <v>0.73024861878453029</v>
      </c>
      <c r="AI141" s="19"/>
    </row>
    <row r="142" spans="1:35" ht="18" customHeight="1" x14ac:dyDescent="0.3">
      <c r="A142" s="56">
        <v>2760</v>
      </c>
      <c r="B142" s="23" t="s">
        <v>578</v>
      </c>
      <c r="C142" s="14">
        <v>2002</v>
      </c>
      <c r="D142" s="18" t="str">
        <f>VLOOKUP(A142, '전체 목록(n=66)'!C:F, 4, FALSE)</f>
        <v>네덜란드</v>
      </c>
      <c r="E142" s="6">
        <f t="shared" si="26"/>
        <v>181</v>
      </c>
      <c r="F142" s="6" t="s">
        <v>203</v>
      </c>
      <c r="G142" s="6">
        <v>14</v>
      </c>
      <c r="H142" s="6" t="s">
        <v>204</v>
      </c>
      <c r="I142" s="6">
        <v>167</v>
      </c>
      <c r="J142" s="6" t="s">
        <v>39</v>
      </c>
      <c r="K142" s="6" t="s">
        <v>206</v>
      </c>
      <c r="L142" s="19"/>
      <c r="M142" s="19"/>
      <c r="N142" s="19"/>
      <c r="O142" s="19"/>
      <c r="P142" s="19">
        <v>80</v>
      </c>
      <c r="Q142" s="19">
        <v>84</v>
      </c>
      <c r="R142" s="19">
        <v>25.8</v>
      </c>
      <c r="S142" s="19">
        <v>98.4</v>
      </c>
      <c r="T142" s="19"/>
      <c r="U142" s="19"/>
      <c r="V142" s="19"/>
      <c r="W142" s="19">
        <v>0.89</v>
      </c>
      <c r="X142" s="19"/>
      <c r="Y142" s="19"/>
      <c r="Z142" s="58">
        <f t="shared" si="27"/>
        <v>11.2</v>
      </c>
      <c r="AA142" s="58">
        <f t="shared" si="28"/>
        <v>26.72</v>
      </c>
      <c r="AB142" s="58">
        <f t="shared" si="29"/>
        <v>2.8000000000000007</v>
      </c>
      <c r="AC142" s="58">
        <f t="shared" si="30"/>
        <v>140.28</v>
      </c>
      <c r="AD142" s="59">
        <f t="shared" si="31"/>
        <v>0.79999999999999993</v>
      </c>
      <c r="AE142" s="59">
        <f t="shared" si="32"/>
        <v>0.84</v>
      </c>
      <c r="AF142" s="59">
        <f t="shared" si="33"/>
        <v>0.29535864978902948</v>
      </c>
      <c r="AG142" s="59">
        <f t="shared" si="34"/>
        <v>0.98043052837573375</v>
      </c>
      <c r="AH142" s="59">
        <f t="shared" si="35"/>
        <v>0.83690607734806621</v>
      </c>
      <c r="AI142" s="19"/>
    </row>
    <row r="143" spans="1:35" ht="18" customHeight="1" x14ac:dyDescent="0.3">
      <c r="A143" s="56">
        <v>2760</v>
      </c>
      <c r="B143" s="23" t="s">
        <v>578</v>
      </c>
      <c r="C143" s="14">
        <v>2002</v>
      </c>
      <c r="D143" s="18" t="str">
        <f>VLOOKUP(A143, '전체 목록(n=66)'!C:F, 4, FALSE)</f>
        <v>네덜란드</v>
      </c>
      <c r="E143" s="6">
        <f t="shared" si="26"/>
        <v>181</v>
      </c>
      <c r="F143" s="6" t="s">
        <v>203</v>
      </c>
      <c r="G143" s="6">
        <v>14</v>
      </c>
      <c r="H143" s="6" t="s">
        <v>204</v>
      </c>
      <c r="I143" s="6">
        <v>167</v>
      </c>
      <c r="J143" s="6" t="s">
        <v>121</v>
      </c>
      <c r="K143" s="6" t="s">
        <v>206</v>
      </c>
      <c r="L143" s="19"/>
      <c r="M143" s="19"/>
      <c r="N143" s="19"/>
      <c r="O143" s="19"/>
      <c r="P143" s="19">
        <v>84.6</v>
      </c>
      <c r="Q143" s="19">
        <v>84.2</v>
      </c>
      <c r="R143" s="19">
        <v>29.7</v>
      </c>
      <c r="S143" s="19">
        <v>98.6</v>
      </c>
      <c r="T143" s="19"/>
      <c r="U143" s="19"/>
      <c r="V143" s="19"/>
      <c r="W143" s="19">
        <v>0.83</v>
      </c>
      <c r="X143" s="19"/>
      <c r="Y143" s="19"/>
      <c r="Z143" s="58">
        <f t="shared" si="27"/>
        <v>11.843999999999999</v>
      </c>
      <c r="AA143" s="58">
        <f t="shared" si="28"/>
        <v>26.385999999999996</v>
      </c>
      <c r="AB143" s="58">
        <f t="shared" si="29"/>
        <v>2.1560000000000006</v>
      </c>
      <c r="AC143" s="58">
        <f t="shared" si="30"/>
        <v>140.614</v>
      </c>
      <c r="AD143" s="59">
        <f t="shared" si="31"/>
        <v>0.84599999999999997</v>
      </c>
      <c r="AE143" s="59">
        <f t="shared" si="32"/>
        <v>0.84199999999999997</v>
      </c>
      <c r="AF143" s="59">
        <f t="shared" si="33"/>
        <v>0.30980905048391316</v>
      </c>
      <c r="AG143" s="59">
        <f t="shared" si="34"/>
        <v>0.9848987882608391</v>
      </c>
      <c r="AH143" s="59">
        <f t="shared" si="35"/>
        <v>0.84230939226519341</v>
      </c>
      <c r="AI143" s="19"/>
    </row>
    <row r="144" spans="1:35" ht="18" customHeight="1" x14ac:dyDescent="0.3">
      <c r="A144" s="56">
        <v>2760</v>
      </c>
      <c r="B144" s="23" t="s">
        <v>578</v>
      </c>
      <c r="C144" s="14">
        <v>2002</v>
      </c>
      <c r="D144" s="18" t="str">
        <f>VLOOKUP(A144, '전체 목록(n=66)'!C:F, 4, FALSE)</f>
        <v>네덜란드</v>
      </c>
      <c r="E144" s="6">
        <f t="shared" si="26"/>
        <v>181</v>
      </c>
      <c r="F144" s="6" t="s">
        <v>203</v>
      </c>
      <c r="G144" s="6">
        <v>14</v>
      </c>
      <c r="H144" s="6" t="s">
        <v>204</v>
      </c>
      <c r="I144" s="6">
        <v>167</v>
      </c>
      <c r="J144" s="6" t="s">
        <v>39</v>
      </c>
      <c r="K144" s="6" t="s">
        <v>207</v>
      </c>
      <c r="L144" s="19"/>
      <c r="M144" s="19"/>
      <c r="N144" s="19"/>
      <c r="O144" s="19"/>
      <c r="P144" s="19">
        <v>75</v>
      </c>
      <c r="Q144" s="19">
        <v>78</v>
      </c>
      <c r="R144" s="19">
        <v>17.100000000000001</v>
      </c>
      <c r="S144" s="19">
        <v>98.1</v>
      </c>
      <c r="T144" s="19"/>
      <c r="U144" s="19"/>
      <c r="V144" s="19"/>
      <c r="W144" s="19">
        <v>0.89</v>
      </c>
      <c r="X144" s="19"/>
      <c r="Y144" s="19"/>
      <c r="Z144" s="58">
        <f t="shared" si="27"/>
        <v>10.5</v>
      </c>
      <c r="AA144" s="58">
        <f t="shared" si="28"/>
        <v>36.740000000000009</v>
      </c>
      <c r="AB144" s="58">
        <f t="shared" si="29"/>
        <v>3.5</v>
      </c>
      <c r="AC144" s="58">
        <f t="shared" si="30"/>
        <v>130.26</v>
      </c>
      <c r="AD144" s="59">
        <f t="shared" si="31"/>
        <v>0.75</v>
      </c>
      <c r="AE144" s="59">
        <f t="shared" si="32"/>
        <v>0.77999999999999992</v>
      </c>
      <c r="AF144" s="59">
        <f t="shared" si="33"/>
        <v>0.22226926333615576</v>
      </c>
      <c r="AG144" s="59">
        <f t="shared" si="34"/>
        <v>0.9738337320574163</v>
      </c>
      <c r="AH144" s="59">
        <f t="shared" si="35"/>
        <v>0.77767955801104971</v>
      </c>
      <c r="AI144" s="19"/>
    </row>
    <row r="145" spans="1:35" ht="18" customHeight="1" x14ac:dyDescent="0.3">
      <c r="A145" s="56">
        <v>2760</v>
      </c>
      <c r="B145" s="23" t="s">
        <v>578</v>
      </c>
      <c r="C145" s="14">
        <v>2002</v>
      </c>
      <c r="D145" s="18" t="str">
        <f>VLOOKUP(A145, '전체 목록(n=66)'!C:F, 4, FALSE)</f>
        <v>네덜란드</v>
      </c>
      <c r="E145" s="6">
        <f t="shared" si="26"/>
        <v>181</v>
      </c>
      <c r="F145" s="6" t="s">
        <v>203</v>
      </c>
      <c r="G145" s="6">
        <v>14</v>
      </c>
      <c r="H145" s="6" t="s">
        <v>204</v>
      </c>
      <c r="I145" s="6">
        <v>167</v>
      </c>
      <c r="J145" s="6" t="s">
        <v>121</v>
      </c>
      <c r="K145" s="6" t="s">
        <v>207</v>
      </c>
      <c r="L145" s="19"/>
      <c r="M145" s="19"/>
      <c r="N145" s="19"/>
      <c r="O145" s="19"/>
      <c r="P145" s="19">
        <v>84.6</v>
      </c>
      <c r="Q145" s="19">
        <v>73.7</v>
      </c>
      <c r="R145" s="19">
        <v>20.2</v>
      </c>
      <c r="S145" s="19">
        <v>98.4</v>
      </c>
      <c r="T145" s="19"/>
      <c r="U145" s="19"/>
      <c r="V145" s="19"/>
      <c r="W145" s="19">
        <v>0.91</v>
      </c>
      <c r="X145" s="19"/>
      <c r="Y145" s="19"/>
      <c r="Z145" s="58">
        <f t="shared" si="27"/>
        <v>11.843999999999999</v>
      </c>
      <c r="AA145" s="58">
        <f t="shared" si="28"/>
        <v>43.921000000000006</v>
      </c>
      <c r="AB145" s="58">
        <f t="shared" si="29"/>
        <v>2.1560000000000006</v>
      </c>
      <c r="AC145" s="58">
        <f t="shared" si="30"/>
        <v>123.07899999999999</v>
      </c>
      <c r="AD145" s="59">
        <f t="shared" si="31"/>
        <v>0.84599999999999997</v>
      </c>
      <c r="AE145" s="59">
        <f t="shared" si="32"/>
        <v>0.73699999999999999</v>
      </c>
      <c r="AF145" s="59">
        <f t="shared" si="33"/>
        <v>0.21239128485609249</v>
      </c>
      <c r="AG145" s="59">
        <f t="shared" si="34"/>
        <v>0.98278436539306102</v>
      </c>
      <c r="AH145" s="59">
        <f t="shared" si="35"/>
        <v>0.74543093922651937</v>
      </c>
      <c r="AI145" s="19"/>
    </row>
    <row r="146" spans="1:35" ht="18" customHeight="1" x14ac:dyDescent="0.3">
      <c r="A146" s="56">
        <v>2760</v>
      </c>
      <c r="B146" s="23" t="s">
        <v>578</v>
      </c>
      <c r="C146" s="14">
        <v>2002</v>
      </c>
      <c r="D146" s="18" t="str">
        <f>VLOOKUP(A146, '전체 목록(n=66)'!C:F, 4, FALSE)</f>
        <v>네덜란드</v>
      </c>
      <c r="E146" s="6">
        <f t="shared" si="26"/>
        <v>181</v>
      </c>
      <c r="F146" s="6" t="s">
        <v>203</v>
      </c>
      <c r="G146" s="6">
        <v>14</v>
      </c>
      <c r="H146" s="6" t="s">
        <v>204</v>
      </c>
      <c r="I146" s="6">
        <v>167</v>
      </c>
      <c r="J146" s="6" t="s">
        <v>39</v>
      </c>
      <c r="K146" s="6" t="s">
        <v>208</v>
      </c>
      <c r="L146" s="19"/>
      <c r="M146" s="19"/>
      <c r="N146" s="19"/>
      <c r="O146" s="19"/>
      <c r="P146" s="19">
        <v>66.7</v>
      </c>
      <c r="Q146" s="19">
        <v>73.900000000000006</v>
      </c>
      <c r="R146" s="19">
        <v>14.8</v>
      </c>
      <c r="S146" s="19">
        <v>97</v>
      </c>
      <c r="T146" s="19"/>
      <c r="U146" s="19"/>
      <c r="V146" s="19"/>
      <c r="W146" s="19">
        <v>0.89</v>
      </c>
      <c r="X146" s="19"/>
      <c r="Y146" s="19"/>
      <c r="Z146" s="58">
        <f t="shared" si="27"/>
        <v>9.338000000000001</v>
      </c>
      <c r="AA146" s="58">
        <f t="shared" si="28"/>
        <v>43.586999999999989</v>
      </c>
      <c r="AB146" s="58">
        <f t="shared" si="29"/>
        <v>4.661999999999999</v>
      </c>
      <c r="AC146" s="58">
        <f t="shared" si="30"/>
        <v>123.41300000000001</v>
      </c>
      <c r="AD146" s="59">
        <f t="shared" si="31"/>
        <v>0.66700000000000004</v>
      </c>
      <c r="AE146" s="59">
        <f t="shared" si="32"/>
        <v>0.7390000000000001</v>
      </c>
      <c r="AF146" s="59">
        <f t="shared" si="33"/>
        <v>0.17643835616438361</v>
      </c>
      <c r="AG146" s="59">
        <f t="shared" si="34"/>
        <v>0.96359945344524689</v>
      </c>
      <c r="AH146" s="59">
        <f t="shared" si="35"/>
        <v>0.73343093922651936</v>
      </c>
      <c r="AI146" s="19"/>
    </row>
    <row r="147" spans="1:35" ht="18" customHeight="1" x14ac:dyDescent="0.3">
      <c r="A147" s="56">
        <v>2760</v>
      </c>
      <c r="B147" s="23" t="s">
        <v>578</v>
      </c>
      <c r="C147" s="14">
        <v>2002</v>
      </c>
      <c r="D147" s="18" t="str">
        <f>VLOOKUP(A147, '전체 목록(n=66)'!C:F, 4, FALSE)</f>
        <v>네덜란드</v>
      </c>
      <c r="E147" s="6">
        <f t="shared" si="26"/>
        <v>181</v>
      </c>
      <c r="F147" s="6" t="s">
        <v>203</v>
      </c>
      <c r="G147" s="6">
        <v>14</v>
      </c>
      <c r="H147" s="6" t="s">
        <v>204</v>
      </c>
      <c r="I147" s="6">
        <v>167</v>
      </c>
      <c r="J147" s="6" t="s">
        <v>121</v>
      </c>
      <c r="K147" s="6" t="s">
        <v>208</v>
      </c>
      <c r="L147" s="19"/>
      <c r="M147" s="19"/>
      <c r="N147" s="19"/>
      <c r="O147" s="19"/>
      <c r="P147" s="19">
        <v>76.900000000000006</v>
      </c>
      <c r="Q147" s="19">
        <v>69.5</v>
      </c>
      <c r="R147" s="19">
        <v>16.399999999999999</v>
      </c>
      <c r="S147" s="19">
        <v>97.5</v>
      </c>
      <c r="T147" s="19"/>
      <c r="U147" s="19"/>
      <c r="V147" s="19"/>
      <c r="W147" s="19">
        <v>0.94</v>
      </c>
      <c r="X147" s="19"/>
      <c r="Y147" s="19"/>
      <c r="Z147" s="58">
        <f t="shared" si="27"/>
        <v>10.766000000000002</v>
      </c>
      <c r="AA147" s="58">
        <f t="shared" si="28"/>
        <v>50.935000000000002</v>
      </c>
      <c r="AB147" s="58">
        <f t="shared" si="29"/>
        <v>3.2339999999999982</v>
      </c>
      <c r="AC147" s="58">
        <f t="shared" si="30"/>
        <v>116.065</v>
      </c>
      <c r="AD147" s="59">
        <f t="shared" si="31"/>
        <v>0.76900000000000013</v>
      </c>
      <c r="AE147" s="59">
        <f t="shared" si="32"/>
        <v>0.69499999999999995</v>
      </c>
      <c r="AF147" s="59">
        <f t="shared" si="33"/>
        <v>0.17448663716957585</v>
      </c>
      <c r="AG147" s="59">
        <f t="shared" si="34"/>
        <v>0.97289164200873435</v>
      </c>
      <c r="AH147" s="59">
        <f t="shared" si="35"/>
        <v>0.70072375690607736</v>
      </c>
      <c r="AI147" s="19"/>
    </row>
    <row r="148" spans="1:35" ht="18" customHeight="1" x14ac:dyDescent="0.3">
      <c r="A148" s="56">
        <v>2847</v>
      </c>
      <c r="B148" s="23" t="s">
        <v>603</v>
      </c>
      <c r="C148" s="14">
        <v>2002</v>
      </c>
      <c r="D148" s="18" t="str">
        <f>VLOOKUP(A148, '전체 목록(n=66)'!C:F, 4, FALSE)</f>
        <v>독일</v>
      </c>
      <c r="E148" s="6">
        <f t="shared" si="26"/>
        <v>90</v>
      </c>
      <c r="F148" s="6" t="s">
        <v>106</v>
      </c>
      <c r="G148" s="6">
        <v>40</v>
      </c>
      <c r="H148" s="6" t="s">
        <v>107</v>
      </c>
      <c r="I148" s="6">
        <v>50</v>
      </c>
      <c r="J148" s="6" t="s">
        <v>39</v>
      </c>
      <c r="K148" s="6" t="s">
        <v>167</v>
      </c>
      <c r="L148" s="19"/>
      <c r="M148" s="19"/>
      <c r="N148" s="19"/>
      <c r="O148" s="19"/>
      <c r="P148" s="19">
        <v>62</v>
      </c>
      <c r="Q148" s="19">
        <v>95</v>
      </c>
      <c r="R148" s="19"/>
      <c r="S148" s="19"/>
      <c r="T148" s="19"/>
      <c r="U148" s="19"/>
      <c r="V148" s="19"/>
      <c r="W148" s="19"/>
      <c r="X148" s="19"/>
      <c r="Y148" s="19"/>
      <c r="Z148" s="58">
        <f t="shared" si="27"/>
        <v>24.8</v>
      </c>
      <c r="AA148" s="58">
        <f t="shared" si="28"/>
        <v>2.5</v>
      </c>
      <c r="AB148" s="58">
        <f t="shared" si="29"/>
        <v>15.2</v>
      </c>
      <c r="AC148" s="58">
        <f t="shared" si="30"/>
        <v>47.5</v>
      </c>
      <c r="AD148" s="59">
        <f t="shared" si="31"/>
        <v>0.62</v>
      </c>
      <c r="AE148" s="59">
        <f t="shared" si="32"/>
        <v>0.95</v>
      </c>
      <c r="AF148" s="59">
        <f t="shared" si="33"/>
        <v>0.90842490842490842</v>
      </c>
      <c r="AG148" s="59">
        <f t="shared" si="34"/>
        <v>0.75757575757575757</v>
      </c>
      <c r="AH148" s="59">
        <f t="shared" si="35"/>
        <v>0.80333333333333334</v>
      </c>
      <c r="AI148" s="19"/>
    </row>
    <row r="149" spans="1:35" ht="18" customHeight="1" x14ac:dyDescent="0.3">
      <c r="A149" s="56">
        <v>2847</v>
      </c>
      <c r="B149" s="23" t="s">
        <v>603</v>
      </c>
      <c r="C149" s="14">
        <v>2002</v>
      </c>
      <c r="D149" s="18" t="str">
        <f>VLOOKUP(A149, '전체 목록(n=66)'!C:F, 4, FALSE)</f>
        <v>독일</v>
      </c>
      <c r="E149" s="6">
        <f t="shared" si="26"/>
        <v>90</v>
      </c>
      <c r="F149" s="6" t="s">
        <v>106</v>
      </c>
      <c r="G149" s="6">
        <v>40</v>
      </c>
      <c r="H149" s="6" t="s">
        <v>107</v>
      </c>
      <c r="I149" s="6">
        <v>50</v>
      </c>
      <c r="J149" s="6" t="s">
        <v>174</v>
      </c>
      <c r="K149" s="6" t="s">
        <v>167</v>
      </c>
      <c r="L149" s="19"/>
      <c r="M149" s="19"/>
      <c r="N149" s="19"/>
      <c r="O149" s="19"/>
      <c r="P149" s="19">
        <v>43</v>
      </c>
      <c r="Q149" s="19">
        <v>96</v>
      </c>
      <c r="R149" s="19"/>
      <c r="S149" s="19"/>
      <c r="T149" s="19"/>
      <c r="U149" s="19"/>
      <c r="V149" s="19"/>
      <c r="W149" s="19"/>
      <c r="X149" s="19"/>
      <c r="Y149" s="19"/>
      <c r="Z149" s="58">
        <f t="shared" si="27"/>
        <v>17.2</v>
      </c>
      <c r="AA149" s="58">
        <f t="shared" si="28"/>
        <v>2</v>
      </c>
      <c r="AB149" s="58">
        <f t="shared" si="29"/>
        <v>22.8</v>
      </c>
      <c r="AC149" s="58">
        <f t="shared" si="30"/>
        <v>48</v>
      </c>
      <c r="AD149" s="59">
        <f t="shared" si="31"/>
        <v>0.43</v>
      </c>
      <c r="AE149" s="59">
        <f t="shared" si="32"/>
        <v>0.96</v>
      </c>
      <c r="AF149" s="59">
        <f t="shared" si="33"/>
        <v>0.89583333333333337</v>
      </c>
      <c r="AG149" s="59">
        <f t="shared" si="34"/>
        <v>0.67796610169491534</v>
      </c>
      <c r="AH149" s="59">
        <f t="shared" si="35"/>
        <v>0.72444444444444445</v>
      </c>
      <c r="AI149" s="19"/>
    </row>
    <row r="150" spans="1:35" ht="18" customHeight="1" x14ac:dyDescent="0.3">
      <c r="A150" s="56">
        <v>2847</v>
      </c>
      <c r="B150" s="23" t="s">
        <v>603</v>
      </c>
      <c r="C150" s="14">
        <v>2002</v>
      </c>
      <c r="D150" s="18" t="str">
        <f>VLOOKUP(A150, '전체 목록(n=66)'!C:F, 4, FALSE)</f>
        <v>독일</v>
      </c>
      <c r="E150" s="6">
        <f t="shared" si="26"/>
        <v>90</v>
      </c>
      <c r="F150" s="6" t="s">
        <v>106</v>
      </c>
      <c r="G150" s="6">
        <v>40</v>
      </c>
      <c r="H150" s="6" t="s">
        <v>107</v>
      </c>
      <c r="I150" s="6">
        <v>50</v>
      </c>
      <c r="J150" s="6" t="s">
        <v>121</v>
      </c>
      <c r="K150" s="6" t="s">
        <v>167</v>
      </c>
      <c r="L150" s="19"/>
      <c r="M150" s="19"/>
      <c r="N150" s="19"/>
      <c r="O150" s="19"/>
      <c r="P150" s="19">
        <v>41</v>
      </c>
      <c r="Q150" s="19">
        <v>100</v>
      </c>
      <c r="R150" s="19"/>
      <c r="S150" s="19"/>
      <c r="T150" s="19"/>
      <c r="U150" s="19"/>
      <c r="V150" s="19"/>
      <c r="W150" s="19"/>
      <c r="X150" s="19"/>
      <c r="Y150" s="19"/>
      <c r="Z150" s="58">
        <f t="shared" si="27"/>
        <v>16.399999999999999</v>
      </c>
      <c r="AA150" s="58">
        <f t="shared" si="28"/>
        <v>0</v>
      </c>
      <c r="AB150" s="58">
        <f t="shared" si="29"/>
        <v>23.6</v>
      </c>
      <c r="AC150" s="58">
        <f t="shared" si="30"/>
        <v>50</v>
      </c>
      <c r="AD150" s="59">
        <f t="shared" si="31"/>
        <v>0.41</v>
      </c>
      <c r="AE150" s="59">
        <f t="shared" si="32"/>
        <v>1</v>
      </c>
      <c r="AF150" s="59">
        <f t="shared" si="33"/>
        <v>1</v>
      </c>
      <c r="AG150" s="59">
        <f t="shared" si="34"/>
        <v>0.67934782608695654</v>
      </c>
      <c r="AH150" s="59">
        <f t="shared" si="35"/>
        <v>0.73777777777777787</v>
      </c>
      <c r="AI150" s="19"/>
    </row>
    <row r="151" spans="1:35" ht="18" customHeight="1" x14ac:dyDescent="0.3">
      <c r="A151" s="56">
        <v>2847</v>
      </c>
      <c r="B151" s="23" t="s">
        <v>603</v>
      </c>
      <c r="C151" s="14">
        <v>2002</v>
      </c>
      <c r="D151" s="18" t="str">
        <f>VLOOKUP(A151, '전체 목록(n=66)'!C:F, 4, FALSE)</f>
        <v>독일</v>
      </c>
      <c r="E151" s="6">
        <f t="shared" si="26"/>
        <v>90</v>
      </c>
      <c r="F151" s="6" t="s">
        <v>106</v>
      </c>
      <c r="G151" s="6">
        <v>40</v>
      </c>
      <c r="H151" s="6" t="s">
        <v>107</v>
      </c>
      <c r="I151" s="6">
        <v>50</v>
      </c>
      <c r="J151" s="6" t="s">
        <v>39</v>
      </c>
      <c r="K151" s="6" t="s">
        <v>168</v>
      </c>
      <c r="L151" s="19"/>
      <c r="M151" s="19"/>
      <c r="N151" s="19"/>
      <c r="O151" s="19"/>
      <c r="P151" s="19">
        <v>90</v>
      </c>
      <c r="Q151" s="19">
        <v>87</v>
      </c>
      <c r="R151" s="19"/>
      <c r="S151" s="19"/>
      <c r="T151" s="19"/>
      <c r="U151" s="19"/>
      <c r="V151" s="19"/>
      <c r="W151" s="19"/>
      <c r="X151" s="19"/>
      <c r="Y151" s="19"/>
      <c r="Z151" s="58">
        <f t="shared" si="27"/>
        <v>36</v>
      </c>
      <c r="AA151" s="58">
        <f t="shared" si="28"/>
        <v>6.5</v>
      </c>
      <c r="AB151" s="58">
        <f t="shared" si="29"/>
        <v>4</v>
      </c>
      <c r="AC151" s="58">
        <f t="shared" si="30"/>
        <v>43.5</v>
      </c>
      <c r="AD151" s="59">
        <f t="shared" si="31"/>
        <v>0.9</v>
      </c>
      <c r="AE151" s="59">
        <f t="shared" si="32"/>
        <v>0.87</v>
      </c>
      <c r="AF151" s="59">
        <f t="shared" si="33"/>
        <v>0.84705882352941175</v>
      </c>
      <c r="AG151" s="59">
        <f t="shared" si="34"/>
        <v>0.91578947368421049</v>
      </c>
      <c r="AH151" s="59">
        <f t="shared" si="35"/>
        <v>0.8833333333333333</v>
      </c>
      <c r="AI151" s="19"/>
    </row>
    <row r="152" spans="1:35" ht="18" customHeight="1" x14ac:dyDescent="0.3">
      <c r="A152" s="56">
        <v>2847</v>
      </c>
      <c r="B152" s="23" t="s">
        <v>603</v>
      </c>
      <c r="C152" s="14">
        <v>2002</v>
      </c>
      <c r="D152" s="18" t="str">
        <f>VLOOKUP(A152, '전체 목록(n=66)'!C:F, 4, FALSE)</f>
        <v>독일</v>
      </c>
      <c r="E152" s="6">
        <f t="shared" si="26"/>
        <v>90</v>
      </c>
      <c r="F152" s="6" t="s">
        <v>106</v>
      </c>
      <c r="G152" s="6">
        <v>40</v>
      </c>
      <c r="H152" s="6" t="s">
        <v>107</v>
      </c>
      <c r="I152" s="6">
        <v>50</v>
      </c>
      <c r="J152" s="6" t="s">
        <v>174</v>
      </c>
      <c r="K152" s="6" t="s">
        <v>168</v>
      </c>
      <c r="L152" s="19"/>
      <c r="M152" s="19"/>
      <c r="N152" s="19"/>
      <c r="O152" s="19"/>
      <c r="P152" s="19">
        <v>77</v>
      </c>
      <c r="Q152" s="19">
        <v>96</v>
      </c>
      <c r="R152" s="19"/>
      <c r="S152" s="19"/>
      <c r="T152" s="19"/>
      <c r="U152" s="19"/>
      <c r="V152" s="19"/>
      <c r="W152" s="19"/>
      <c r="X152" s="19"/>
      <c r="Y152" s="19"/>
      <c r="Z152" s="58">
        <f t="shared" si="27"/>
        <v>30.8</v>
      </c>
      <c r="AA152" s="58">
        <f t="shared" si="28"/>
        <v>2</v>
      </c>
      <c r="AB152" s="58">
        <f t="shared" si="29"/>
        <v>9.1999999999999993</v>
      </c>
      <c r="AC152" s="58">
        <f t="shared" si="30"/>
        <v>48</v>
      </c>
      <c r="AD152" s="59">
        <f t="shared" si="31"/>
        <v>0.77</v>
      </c>
      <c r="AE152" s="59">
        <f t="shared" si="32"/>
        <v>0.96</v>
      </c>
      <c r="AF152" s="59">
        <f t="shared" si="33"/>
        <v>0.9390243902439025</v>
      </c>
      <c r="AG152" s="59">
        <f t="shared" si="34"/>
        <v>0.83916083916083917</v>
      </c>
      <c r="AH152" s="59">
        <f t="shared" si="35"/>
        <v>0.87555555555555553</v>
      </c>
      <c r="AI152" s="19"/>
    </row>
    <row r="153" spans="1:35" ht="18" customHeight="1" x14ac:dyDescent="0.3">
      <c r="A153" s="56">
        <v>2847</v>
      </c>
      <c r="B153" s="23" t="s">
        <v>603</v>
      </c>
      <c r="C153" s="14">
        <v>2002</v>
      </c>
      <c r="D153" s="18" t="str">
        <f>VLOOKUP(A153, '전체 목록(n=66)'!C:F, 4, FALSE)</f>
        <v>독일</v>
      </c>
      <c r="E153" s="6">
        <f t="shared" si="26"/>
        <v>90</v>
      </c>
      <c r="F153" s="6" t="s">
        <v>106</v>
      </c>
      <c r="G153" s="6">
        <v>40</v>
      </c>
      <c r="H153" s="6" t="s">
        <v>107</v>
      </c>
      <c r="I153" s="6">
        <v>50</v>
      </c>
      <c r="J153" s="6" t="s">
        <v>121</v>
      </c>
      <c r="K153" s="6" t="s">
        <v>168</v>
      </c>
      <c r="L153" s="19"/>
      <c r="M153" s="19"/>
      <c r="N153" s="19"/>
      <c r="O153" s="19"/>
      <c r="P153" s="19">
        <v>92</v>
      </c>
      <c r="Q153" s="19">
        <v>95</v>
      </c>
      <c r="R153" s="19"/>
      <c r="S153" s="19"/>
      <c r="T153" s="19"/>
      <c r="U153" s="19"/>
      <c r="V153" s="19"/>
      <c r="W153" s="19"/>
      <c r="X153" s="19"/>
      <c r="Y153" s="19"/>
      <c r="Z153" s="58">
        <f t="shared" si="27"/>
        <v>36.799999999999997</v>
      </c>
      <c r="AA153" s="58">
        <f t="shared" si="28"/>
        <v>2.5</v>
      </c>
      <c r="AB153" s="58">
        <f t="shared" si="29"/>
        <v>3.2000000000000028</v>
      </c>
      <c r="AC153" s="58">
        <f t="shared" si="30"/>
        <v>47.5</v>
      </c>
      <c r="AD153" s="59">
        <f t="shared" si="31"/>
        <v>0.91999999999999993</v>
      </c>
      <c r="AE153" s="59">
        <f t="shared" si="32"/>
        <v>0.95</v>
      </c>
      <c r="AF153" s="59">
        <f t="shared" si="33"/>
        <v>0.93638676844783719</v>
      </c>
      <c r="AG153" s="59">
        <f t="shared" si="34"/>
        <v>0.9368836291913214</v>
      </c>
      <c r="AH153" s="59">
        <f t="shared" si="35"/>
        <v>0.93666666666666665</v>
      </c>
      <c r="AI153" s="19"/>
    </row>
    <row r="154" spans="1:35" ht="18" customHeight="1" x14ac:dyDescent="0.3">
      <c r="A154" s="56">
        <v>2847</v>
      </c>
      <c r="B154" s="23" t="s">
        <v>603</v>
      </c>
      <c r="C154" s="14">
        <v>2002</v>
      </c>
      <c r="D154" s="18" t="str">
        <f>VLOOKUP(A154, '전체 목록(n=66)'!C:F, 4, FALSE)</f>
        <v>독일</v>
      </c>
      <c r="E154" s="6">
        <f t="shared" si="26"/>
        <v>90</v>
      </c>
      <c r="F154" s="6" t="s">
        <v>106</v>
      </c>
      <c r="G154" s="6">
        <v>40</v>
      </c>
      <c r="H154" s="6" t="s">
        <v>107</v>
      </c>
      <c r="I154" s="6">
        <v>50</v>
      </c>
      <c r="J154" s="6" t="s">
        <v>39</v>
      </c>
      <c r="K154" s="6" t="s">
        <v>199</v>
      </c>
      <c r="L154" s="19"/>
      <c r="M154" s="19"/>
      <c r="N154" s="19"/>
      <c r="O154" s="19"/>
      <c r="P154" s="19">
        <v>93</v>
      </c>
      <c r="Q154" s="19">
        <v>70</v>
      </c>
      <c r="R154" s="19"/>
      <c r="S154" s="19"/>
      <c r="T154" s="19"/>
      <c r="U154" s="19"/>
      <c r="V154" s="19"/>
      <c r="W154" s="19"/>
      <c r="X154" s="19"/>
      <c r="Y154" s="19"/>
      <c r="Z154" s="58">
        <f t="shared" si="27"/>
        <v>37.200000000000003</v>
      </c>
      <c r="AA154" s="58">
        <f t="shared" si="28"/>
        <v>15</v>
      </c>
      <c r="AB154" s="58">
        <f t="shared" si="29"/>
        <v>2.7999999999999972</v>
      </c>
      <c r="AC154" s="58">
        <f t="shared" si="30"/>
        <v>35</v>
      </c>
      <c r="AD154" s="59">
        <f t="shared" si="31"/>
        <v>0.93</v>
      </c>
      <c r="AE154" s="59">
        <f t="shared" si="32"/>
        <v>0.7</v>
      </c>
      <c r="AF154" s="59">
        <f t="shared" si="33"/>
        <v>0.71264367816091956</v>
      </c>
      <c r="AG154" s="59">
        <f t="shared" si="34"/>
        <v>0.92592592592592604</v>
      </c>
      <c r="AH154" s="59">
        <f t="shared" si="35"/>
        <v>0.80222222222222228</v>
      </c>
      <c r="AI154" s="19"/>
    </row>
    <row r="155" spans="1:35" ht="18" customHeight="1" x14ac:dyDescent="0.3">
      <c r="A155" s="56">
        <v>2847</v>
      </c>
      <c r="B155" s="23" t="s">
        <v>603</v>
      </c>
      <c r="C155" s="14">
        <v>2002</v>
      </c>
      <c r="D155" s="18" t="str">
        <f>VLOOKUP(A155, '전체 목록(n=66)'!C:F, 4, FALSE)</f>
        <v>독일</v>
      </c>
      <c r="E155" s="6">
        <f t="shared" si="26"/>
        <v>90</v>
      </c>
      <c r="F155" s="6" t="s">
        <v>106</v>
      </c>
      <c r="G155" s="6">
        <v>40</v>
      </c>
      <c r="H155" s="6" t="s">
        <v>107</v>
      </c>
      <c r="I155" s="6">
        <v>50</v>
      </c>
      <c r="J155" s="6" t="s">
        <v>174</v>
      </c>
      <c r="K155" s="6" t="s">
        <v>199</v>
      </c>
      <c r="L155" s="19"/>
      <c r="M155" s="19"/>
      <c r="N155" s="19"/>
      <c r="O155" s="19"/>
      <c r="P155" s="19">
        <v>97</v>
      </c>
      <c r="Q155" s="19">
        <v>95</v>
      </c>
      <c r="R155" s="19"/>
      <c r="S155" s="19"/>
      <c r="T155" s="19"/>
      <c r="U155" s="19"/>
      <c r="V155" s="19"/>
      <c r="W155" s="19"/>
      <c r="X155" s="19"/>
      <c r="Y155" s="19"/>
      <c r="Z155" s="58">
        <f t="shared" si="27"/>
        <v>38.799999999999997</v>
      </c>
      <c r="AA155" s="58">
        <f t="shared" si="28"/>
        <v>2.5</v>
      </c>
      <c r="AB155" s="58">
        <f t="shared" si="29"/>
        <v>1.2000000000000028</v>
      </c>
      <c r="AC155" s="58">
        <f t="shared" si="30"/>
        <v>47.5</v>
      </c>
      <c r="AD155" s="59">
        <f t="shared" si="31"/>
        <v>0.97</v>
      </c>
      <c r="AE155" s="59">
        <f t="shared" si="32"/>
        <v>0.95</v>
      </c>
      <c r="AF155" s="59">
        <f t="shared" si="33"/>
        <v>0.93946731234866832</v>
      </c>
      <c r="AG155" s="59">
        <f t="shared" si="34"/>
        <v>0.97535934291581106</v>
      </c>
      <c r="AH155" s="59">
        <f t="shared" si="35"/>
        <v>0.9588888888888889</v>
      </c>
      <c r="AI155" s="19"/>
    </row>
    <row r="156" spans="1:35" ht="18" customHeight="1" x14ac:dyDescent="0.3">
      <c r="A156" s="56">
        <v>2847</v>
      </c>
      <c r="B156" s="23" t="s">
        <v>603</v>
      </c>
      <c r="C156" s="14">
        <v>2002</v>
      </c>
      <c r="D156" s="18" t="str">
        <f>VLOOKUP(A156, '전체 목록(n=66)'!C:F, 4, FALSE)</f>
        <v>독일</v>
      </c>
      <c r="E156" s="6">
        <f t="shared" si="26"/>
        <v>90</v>
      </c>
      <c r="F156" s="6" t="s">
        <v>106</v>
      </c>
      <c r="G156" s="6">
        <v>40</v>
      </c>
      <c r="H156" s="6" t="s">
        <v>107</v>
      </c>
      <c r="I156" s="6">
        <v>50</v>
      </c>
      <c r="J156" s="6" t="s">
        <v>121</v>
      </c>
      <c r="K156" s="6" t="s">
        <v>199</v>
      </c>
      <c r="L156" s="19"/>
      <c r="M156" s="19"/>
      <c r="N156" s="19"/>
      <c r="O156" s="19"/>
      <c r="P156" s="19">
        <v>100</v>
      </c>
      <c r="Q156" s="19">
        <v>95</v>
      </c>
      <c r="R156" s="19"/>
      <c r="S156" s="19"/>
      <c r="T156" s="19"/>
      <c r="U156" s="19"/>
      <c r="V156" s="19"/>
      <c r="W156" s="19"/>
      <c r="X156" s="19"/>
      <c r="Y156" s="19"/>
      <c r="Z156" s="58">
        <f t="shared" si="27"/>
        <v>40</v>
      </c>
      <c r="AA156" s="58">
        <f t="shared" si="28"/>
        <v>2.5</v>
      </c>
      <c r="AB156" s="58">
        <f t="shared" si="29"/>
        <v>0</v>
      </c>
      <c r="AC156" s="58">
        <f t="shared" si="30"/>
        <v>47.5</v>
      </c>
      <c r="AD156" s="59">
        <f t="shared" si="31"/>
        <v>1</v>
      </c>
      <c r="AE156" s="59">
        <f t="shared" si="32"/>
        <v>0.95</v>
      </c>
      <c r="AF156" s="59">
        <f t="shared" si="33"/>
        <v>0.94117647058823528</v>
      </c>
      <c r="AG156" s="59">
        <f t="shared" si="34"/>
        <v>1</v>
      </c>
      <c r="AH156" s="59">
        <f t="shared" si="35"/>
        <v>0.97222222222222221</v>
      </c>
      <c r="AI156" s="19"/>
    </row>
    <row r="157" spans="1:35" ht="18" customHeight="1" x14ac:dyDescent="0.3">
      <c r="A157" s="56">
        <v>2847</v>
      </c>
      <c r="B157" s="23" t="s">
        <v>603</v>
      </c>
      <c r="C157" s="14">
        <v>2002</v>
      </c>
      <c r="D157" s="18" t="str">
        <f>VLOOKUP(A157, '전체 목록(n=66)'!C:F, 4, FALSE)</f>
        <v>독일</v>
      </c>
      <c r="E157" s="6">
        <f t="shared" si="26"/>
        <v>90</v>
      </c>
      <c r="F157" s="6" t="s">
        <v>106</v>
      </c>
      <c r="G157" s="6">
        <v>40</v>
      </c>
      <c r="H157" s="6" t="s">
        <v>107</v>
      </c>
      <c r="I157" s="6">
        <v>50</v>
      </c>
      <c r="J157" s="6" t="s">
        <v>39</v>
      </c>
      <c r="K157" s="6" t="s">
        <v>479</v>
      </c>
      <c r="L157" s="19"/>
      <c r="M157" s="19"/>
      <c r="N157" s="19"/>
      <c r="O157" s="19"/>
      <c r="P157" s="19">
        <v>66</v>
      </c>
      <c r="Q157" s="19">
        <v>81</v>
      </c>
      <c r="R157" s="19"/>
      <c r="S157" s="19"/>
      <c r="T157" s="19"/>
      <c r="U157" s="19"/>
      <c r="V157" s="19"/>
      <c r="W157" s="19"/>
      <c r="X157" s="19"/>
      <c r="Y157" s="19"/>
      <c r="Z157" s="58">
        <f t="shared" si="27"/>
        <v>26.4</v>
      </c>
      <c r="AA157" s="58">
        <f t="shared" si="28"/>
        <v>9.5</v>
      </c>
      <c r="AB157" s="58">
        <f t="shared" si="29"/>
        <v>13.600000000000001</v>
      </c>
      <c r="AC157" s="58">
        <f t="shared" si="30"/>
        <v>40.5</v>
      </c>
      <c r="AD157" s="59">
        <f t="shared" si="31"/>
        <v>0.65999999999999992</v>
      </c>
      <c r="AE157" s="59">
        <f t="shared" si="32"/>
        <v>0.81</v>
      </c>
      <c r="AF157" s="59">
        <f t="shared" si="33"/>
        <v>0.73537604456824512</v>
      </c>
      <c r="AG157" s="59">
        <f t="shared" si="34"/>
        <v>0.74861367837338255</v>
      </c>
      <c r="AH157" s="59">
        <f t="shared" si="35"/>
        <v>0.7433333333333334</v>
      </c>
      <c r="AI157" s="19"/>
    </row>
    <row r="158" spans="1:35" ht="18" customHeight="1" x14ac:dyDescent="0.3">
      <c r="A158" s="56">
        <v>2847</v>
      </c>
      <c r="B158" s="23" t="s">
        <v>603</v>
      </c>
      <c r="C158" s="14">
        <v>2002</v>
      </c>
      <c r="D158" s="18" t="str">
        <f>VLOOKUP(A158, '전체 목록(n=66)'!C:F, 4, FALSE)</f>
        <v>독일</v>
      </c>
      <c r="E158" s="6">
        <f t="shared" si="26"/>
        <v>90</v>
      </c>
      <c r="F158" s="6" t="s">
        <v>106</v>
      </c>
      <c r="G158" s="6">
        <v>40</v>
      </c>
      <c r="H158" s="6" t="s">
        <v>107</v>
      </c>
      <c r="I158" s="6">
        <v>50</v>
      </c>
      <c r="J158" s="6" t="s">
        <v>174</v>
      </c>
      <c r="K158" s="6" t="s">
        <v>479</v>
      </c>
      <c r="L158" s="19"/>
      <c r="M158" s="19"/>
      <c r="N158" s="19"/>
      <c r="O158" s="19"/>
      <c r="P158" s="19">
        <v>93</v>
      </c>
      <c r="Q158" s="19">
        <v>90</v>
      </c>
      <c r="R158" s="19"/>
      <c r="S158" s="19"/>
      <c r="T158" s="19"/>
      <c r="U158" s="19"/>
      <c r="V158" s="19"/>
      <c r="W158" s="19"/>
      <c r="X158" s="19"/>
      <c r="Y158" s="19"/>
      <c r="Z158" s="58">
        <f t="shared" si="27"/>
        <v>37.200000000000003</v>
      </c>
      <c r="AA158" s="58">
        <f t="shared" si="28"/>
        <v>5</v>
      </c>
      <c r="AB158" s="58">
        <f t="shared" si="29"/>
        <v>2.7999999999999972</v>
      </c>
      <c r="AC158" s="58">
        <f t="shared" si="30"/>
        <v>45</v>
      </c>
      <c r="AD158" s="59">
        <f t="shared" si="31"/>
        <v>0.93</v>
      </c>
      <c r="AE158" s="59">
        <f t="shared" si="32"/>
        <v>0.9</v>
      </c>
      <c r="AF158" s="59">
        <f t="shared" si="33"/>
        <v>0.88151658767772512</v>
      </c>
      <c r="AG158" s="59">
        <f t="shared" si="34"/>
        <v>0.94142259414225948</v>
      </c>
      <c r="AH158" s="59">
        <f t="shared" si="35"/>
        <v>0.91333333333333333</v>
      </c>
      <c r="AI158" s="19"/>
    </row>
    <row r="159" spans="1:35" ht="18" customHeight="1" x14ac:dyDescent="0.3">
      <c r="A159" s="56">
        <v>2847</v>
      </c>
      <c r="B159" s="23" t="s">
        <v>603</v>
      </c>
      <c r="C159" s="14">
        <v>2002</v>
      </c>
      <c r="D159" s="18" t="str">
        <f>VLOOKUP(A159, '전체 목록(n=66)'!C:F, 4, FALSE)</f>
        <v>독일</v>
      </c>
      <c r="E159" s="6">
        <f t="shared" si="26"/>
        <v>90</v>
      </c>
      <c r="F159" s="6" t="s">
        <v>106</v>
      </c>
      <c r="G159" s="6">
        <v>40</v>
      </c>
      <c r="H159" s="6" t="s">
        <v>107</v>
      </c>
      <c r="I159" s="6">
        <v>50</v>
      </c>
      <c r="J159" s="6" t="s">
        <v>121</v>
      </c>
      <c r="K159" s="6" t="s">
        <v>479</v>
      </c>
      <c r="L159" s="19"/>
      <c r="M159" s="19"/>
      <c r="N159" s="19"/>
      <c r="O159" s="19"/>
      <c r="P159" s="19">
        <v>100</v>
      </c>
      <c r="Q159" s="19">
        <v>86</v>
      </c>
      <c r="R159" s="19"/>
      <c r="S159" s="19"/>
      <c r="T159" s="19"/>
      <c r="U159" s="19"/>
      <c r="V159" s="19"/>
      <c r="W159" s="19"/>
      <c r="X159" s="19"/>
      <c r="Y159" s="19"/>
      <c r="Z159" s="58">
        <f t="shared" si="27"/>
        <v>40</v>
      </c>
      <c r="AA159" s="58">
        <f t="shared" si="28"/>
        <v>7</v>
      </c>
      <c r="AB159" s="58">
        <f t="shared" si="29"/>
        <v>0</v>
      </c>
      <c r="AC159" s="58">
        <f t="shared" si="30"/>
        <v>43</v>
      </c>
      <c r="AD159" s="59">
        <f t="shared" si="31"/>
        <v>1</v>
      </c>
      <c r="AE159" s="59">
        <f t="shared" si="32"/>
        <v>0.86</v>
      </c>
      <c r="AF159" s="59">
        <f t="shared" si="33"/>
        <v>0.85106382978723405</v>
      </c>
      <c r="AG159" s="59">
        <f t="shared" si="34"/>
        <v>1</v>
      </c>
      <c r="AH159" s="59">
        <f t="shared" si="35"/>
        <v>0.92222222222222228</v>
      </c>
      <c r="AI159" s="19"/>
    </row>
    <row r="160" spans="1:35" ht="18" customHeight="1" x14ac:dyDescent="0.3">
      <c r="A160" s="15">
        <v>2932</v>
      </c>
      <c r="B160" s="23" t="s">
        <v>546</v>
      </c>
      <c r="C160" s="14">
        <v>2001</v>
      </c>
      <c r="D160" s="18" t="str">
        <f>VLOOKUP(A160, '전체 목록(n=66)'!C:F, 4, FALSE)</f>
        <v>미국</v>
      </c>
      <c r="E160" s="2">
        <v>817</v>
      </c>
      <c r="F160" s="2" t="s">
        <v>97</v>
      </c>
      <c r="G160" s="2">
        <v>65</v>
      </c>
      <c r="H160" s="2" t="s">
        <v>98</v>
      </c>
      <c r="I160" s="2">
        <v>752</v>
      </c>
      <c r="J160" s="2" t="s">
        <v>39</v>
      </c>
      <c r="K160" s="2" t="s">
        <v>167</v>
      </c>
      <c r="P160" s="1">
        <v>70.8</v>
      </c>
      <c r="Q160" s="1">
        <v>75.599999999999994</v>
      </c>
      <c r="R160" s="1">
        <v>20.100000000000001</v>
      </c>
      <c r="S160" s="1">
        <v>96.8</v>
      </c>
      <c r="Z160" s="17">
        <f t="shared" si="27"/>
        <v>46.02</v>
      </c>
      <c r="AA160" s="17">
        <f t="shared" si="28"/>
        <v>183.48800000000006</v>
      </c>
      <c r="AB160" s="17">
        <f t="shared" si="29"/>
        <v>18.979999999999997</v>
      </c>
      <c r="AC160" s="17">
        <f t="shared" si="30"/>
        <v>568.51199999999994</v>
      </c>
      <c r="AD160" s="24">
        <f t="shared" si="31"/>
        <v>0.70800000000000007</v>
      </c>
      <c r="AE160" s="24">
        <f t="shared" si="32"/>
        <v>0.75599999999999989</v>
      </c>
      <c r="AF160" s="24">
        <f t="shared" si="33"/>
        <v>0.20051588615647381</v>
      </c>
      <c r="AG160" s="24">
        <f t="shared" si="34"/>
        <v>0.96769317709858171</v>
      </c>
      <c r="AH160" s="24">
        <f t="shared" si="35"/>
        <v>0.75218115055079549</v>
      </c>
    </row>
    <row r="161" spans="1:34" ht="18" customHeight="1" x14ac:dyDescent="0.3">
      <c r="A161" s="15">
        <v>2932</v>
      </c>
      <c r="B161" s="23" t="s">
        <v>546</v>
      </c>
      <c r="C161" s="14">
        <v>2001</v>
      </c>
      <c r="D161" s="18" t="str">
        <f>VLOOKUP(A161, '전체 목록(n=66)'!C:F, 4, FALSE)</f>
        <v>미국</v>
      </c>
      <c r="E161" s="2">
        <v>817</v>
      </c>
      <c r="F161" s="2" t="s">
        <v>97</v>
      </c>
      <c r="G161" s="2">
        <v>65</v>
      </c>
      <c r="H161" s="2" t="s">
        <v>98</v>
      </c>
      <c r="I161" s="2">
        <v>752</v>
      </c>
      <c r="J161" s="2" t="s">
        <v>51</v>
      </c>
      <c r="K161" s="2" t="s">
        <v>167</v>
      </c>
      <c r="P161" s="1">
        <v>64.599999999999994</v>
      </c>
      <c r="Q161" s="1">
        <v>87.6</v>
      </c>
      <c r="R161" s="1">
        <v>31.1</v>
      </c>
      <c r="S161" s="1">
        <v>96.6</v>
      </c>
      <c r="Z161" s="17">
        <f t="shared" si="27"/>
        <v>41.99</v>
      </c>
      <c r="AA161" s="17">
        <f t="shared" si="28"/>
        <v>93.248000000000047</v>
      </c>
      <c r="AB161" s="17">
        <f t="shared" si="29"/>
        <v>23.009999999999998</v>
      </c>
      <c r="AC161" s="17">
        <f t="shared" si="30"/>
        <v>658.75199999999995</v>
      </c>
      <c r="AD161" s="24">
        <f t="shared" si="31"/>
        <v>0.64600000000000002</v>
      </c>
      <c r="AE161" s="24">
        <f t="shared" si="32"/>
        <v>0.87599999999999989</v>
      </c>
      <c r="AF161" s="24">
        <f t="shared" si="33"/>
        <v>0.31048965527440503</v>
      </c>
      <c r="AG161" s="24">
        <f t="shared" si="34"/>
        <v>0.96624921893564031</v>
      </c>
      <c r="AH161" s="24">
        <f t="shared" si="35"/>
        <v>0.85770134638922879</v>
      </c>
    </row>
    <row r="162" spans="1:34" ht="18" customHeight="1" x14ac:dyDescent="0.3">
      <c r="A162" s="56">
        <v>2936</v>
      </c>
      <c r="B162" s="23" t="s">
        <v>579</v>
      </c>
      <c r="C162" s="14">
        <v>2001</v>
      </c>
      <c r="D162" s="18" t="str">
        <f>VLOOKUP(A162, '전체 목록(n=66)'!C:F, 4, FALSE)</f>
        <v>미국</v>
      </c>
      <c r="E162" s="6">
        <v>1285</v>
      </c>
      <c r="F162" s="6" t="s">
        <v>106</v>
      </c>
      <c r="G162" s="6">
        <v>66</v>
      </c>
      <c r="H162" s="6" t="s">
        <v>107</v>
      </c>
      <c r="I162" s="6">
        <f>1285-66</f>
        <v>1219</v>
      </c>
      <c r="J162" s="6" t="s">
        <v>39</v>
      </c>
      <c r="K162" s="6" t="s">
        <v>211</v>
      </c>
      <c r="L162" s="19"/>
      <c r="M162" s="19"/>
      <c r="N162" s="19"/>
      <c r="O162" s="19"/>
      <c r="P162" s="19">
        <v>70</v>
      </c>
      <c r="Q162" s="19">
        <v>80</v>
      </c>
      <c r="R162" s="19">
        <v>16</v>
      </c>
      <c r="S162" s="19">
        <v>98</v>
      </c>
      <c r="T162" s="19"/>
      <c r="U162" s="19"/>
      <c r="V162" s="19"/>
      <c r="W162" s="19"/>
      <c r="X162" s="19"/>
      <c r="Y162" s="19"/>
      <c r="Z162" s="58">
        <f t="shared" si="27"/>
        <v>46.2</v>
      </c>
      <c r="AA162" s="58">
        <f t="shared" si="28"/>
        <v>243.79999999999995</v>
      </c>
      <c r="AB162" s="58">
        <f t="shared" si="29"/>
        <v>19.799999999999997</v>
      </c>
      <c r="AC162" s="58">
        <f t="shared" si="30"/>
        <v>975.2</v>
      </c>
      <c r="AD162" s="59">
        <f t="shared" si="31"/>
        <v>0.70000000000000007</v>
      </c>
      <c r="AE162" s="59">
        <f t="shared" si="32"/>
        <v>0.8</v>
      </c>
      <c r="AF162" s="59">
        <f t="shared" si="33"/>
        <v>0.15931034482758624</v>
      </c>
      <c r="AG162" s="59">
        <f t="shared" si="34"/>
        <v>0.98010050251256287</v>
      </c>
      <c r="AH162" s="59">
        <f t="shared" si="35"/>
        <v>0.794863813229572</v>
      </c>
    </row>
    <row r="163" spans="1:34" ht="18" customHeight="1" x14ac:dyDescent="0.3">
      <c r="A163" s="56">
        <v>2936</v>
      </c>
      <c r="B163" s="23" t="s">
        <v>579</v>
      </c>
      <c r="C163" s="14">
        <v>2001</v>
      </c>
      <c r="D163" s="18" t="str">
        <f>VLOOKUP(A163, '전체 목록(n=66)'!C:F, 4, FALSE)</f>
        <v>미국</v>
      </c>
      <c r="E163" s="6">
        <v>1285</v>
      </c>
      <c r="F163" s="6" t="s">
        <v>106</v>
      </c>
      <c r="G163" s="6">
        <v>66</v>
      </c>
      <c r="H163" s="6" t="s">
        <v>107</v>
      </c>
      <c r="I163" s="6">
        <f>1285-66</f>
        <v>1219</v>
      </c>
      <c r="J163" s="6" t="s">
        <v>51</v>
      </c>
      <c r="K163" s="6" t="s">
        <v>211</v>
      </c>
      <c r="L163" s="19"/>
      <c r="M163" s="19"/>
      <c r="N163" s="19"/>
      <c r="O163" s="19"/>
      <c r="P163" s="19">
        <v>86</v>
      </c>
      <c r="Q163" s="19">
        <v>99</v>
      </c>
      <c r="R163" s="19"/>
      <c r="S163" s="19"/>
      <c r="T163" s="19"/>
      <c r="U163" s="19"/>
      <c r="V163" s="19"/>
      <c r="W163" s="19"/>
      <c r="X163" s="19"/>
      <c r="Y163" s="19"/>
      <c r="Z163" s="58">
        <f t="shared" si="27"/>
        <v>56.76</v>
      </c>
      <c r="AA163" s="58">
        <f t="shared" si="28"/>
        <v>12.190000000000055</v>
      </c>
      <c r="AB163" s="58">
        <f t="shared" si="29"/>
        <v>9.240000000000002</v>
      </c>
      <c r="AC163" s="58">
        <f t="shared" si="30"/>
        <v>1206.81</v>
      </c>
      <c r="AD163" s="59">
        <f t="shared" si="31"/>
        <v>0.86</v>
      </c>
      <c r="AE163" s="59">
        <f t="shared" si="32"/>
        <v>0.99</v>
      </c>
      <c r="AF163" s="59">
        <f t="shared" si="33"/>
        <v>0.8232052211747638</v>
      </c>
      <c r="AG163" s="59">
        <f t="shared" si="34"/>
        <v>0.99240162822252376</v>
      </c>
      <c r="AH163" s="59">
        <f t="shared" si="35"/>
        <v>0.98332295719844354</v>
      </c>
    </row>
    <row r="164" spans="1:34" ht="18" customHeight="1" x14ac:dyDescent="0.3">
      <c r="A164" s="56">
        <v>15036</v>
      </c>
      <c r="B164" s="23" t="s">
        <v>608</v>
      </c>
      <c r="C164" s="14">
        <v>2001</v>
      </c>
      <c r="D164" s="18" t="str">
        <f>VLOOKUP(A164, '전체 목록(n=66)'!C:F, 4, FALSE)</f>
        <v>미국</v>
      </c>
      <c r="E164" s="6">
        <f t="shared" ref="E164:E206" si="36">G164+I164</f>
        <v>955</v>
      </c>
      <c r="F164" s="6" t="s">
        <v>106</v>
      </c>
      <c r="G164" s="6">
        <v>119</v>
      </c>
      <c r="H164" s="6" t="s">
        <v>107</v>
      </c>
      <c r="I164" s="6">
        <f t="shared" ref="I164:I181" si="37">955-119</f>
        <v>836</v>
      </c>
      <c r="J164" s="6" t="s">
        <v>39</v>
      </c>
      <c r="K164" s="6" t="s">
        <v>168</v>
      </c>
      <c r="L164" s="19"/>
      <c r="M164" s="19"/>
      <c r="N164" s="19"/>
      <c r="O164" s="19"/>
      <c r="P164" s="19">
        <v>26.3</v>
      </c>
      <c r="Q164" s="19">
        <v>87.3</v>
      </c>
      <c r="R164" s="19"/>
      <c r="S164" s="19"/>
      <c r="T164" s="19"/>
      <c r="U164" s="19"/>
      <c r="V164" s="19"/>
      <c r="W164" s="19"/>
      <c r="X164" s="19"/>
      <c r="Y164" s="19"/>
      <c r="Z164" s="58">
        <f t="shared" si="27"/>
        <v>31.297000000000004</v>
      </c>
      <c r="AA164" s="58">
        <f t="shared" si="28"/>
        <v>106.17200000000003</v>
      </c>
      <c r="AB164" s="58">
        <f t="shared" si="29"/>
        <v>87.703000000000003</v>
      </c>
      <c r="AC164" s="58">
        <f t="shared" si="30"/>
        <v>729.82799999999997</v>
      </c>
      <c r="AD164" s="59">
        <f t="shared" si="31"/>
        <v>0.26300000000000001</v>
      </c>
      <c r="AE164" s="59">
        <f t="shared" si="32"/>
        <v>0.873</v>
      </c>
      <c r="AF164" s="59">
        <f t="shared" si="33"/>
        <v>0.22766587376062966</v>
      </c>
      <c r="AG164" s="59">
        <f t="shared" si="34"/>
        <v>0.89272211084350317</v>
      </c>
      <c r="AH164" s="59">
        <f t="shared" si="35"/>
        <v>0.79698952879581153</v>
      </c>
    </row>
    <row r="165" spans="1:34" ht="18" customHeight="1" x14ac:dyDescent="0.3">
      <c r="A165" s="56">
        <v>15036</v>
      </c>
      <c r="B165" s="23" t="s">
        <v>608</v>
      </c>
      <c r="C165" s="14">
        <v>2001</v>
      </c>
      <c r="D165" s="18" t="str">
        <f>VLOOKUP(A165, '전체 목록(n=66)'!C:F, 4, FALSE)</f>
        <v>미국</v>
      </c>
      <c r="E165" s="6">
        <f t="shared" si="36"/>
        <v>955</v>
      </c>
      <c r="F165" s="6" t="s">
        <v>106</v>
      </c>
      <c r="G165" s="6">
        <v>119</v>
      </c>
      <c r="H165" s="6" t="s">
        <v>107</v>
      </c>
      <c r="I165" s="6">
        <f t="shared" si="37"/>
        <v>836</v>
      </c>
      <c r="J165" s="6" t="s">
        <v>121</v>
      </c>
      <c r="K165" s="6" t="s">
        <v>168</v>
      </c>
      <c r="L165" s="19"/>
      <c r="M165" s="19"/>
      <c r="N165" s="19"/>
      <c r="O165" s="19"/>
      <c r="P165" s="19">
        <v>10.5</v>
      </c>
      <c r="Q165" s="19">
        <v>98.4</v>
      </c>
      <c r="R165" s="19"/>
      <c r="S165" s="19"/>
      <c r="T165" s="19"/>
      <c r="U165" s="19"/>
      <c r="V165" s="19"/>
      <c r="W165" s="19"/>
      <c r="X165" s="19"/>
      <c r="Y165" s="19"/>
      <c r="Z165" s="58">
        <f t="shared" si="27"/>
        <v>12.494999999999999</v>
      </c>
      <c r="AA165" s="58">
        <f t="shared" si="28"/>
        <v>13.375999999999863</v>
      </c>
      <c r="AB165" s="58">
        <f t="shared" si="29"/>
        <v>106.505</v>
      </c>
      <c r="AC165" s="58">
        <f t="shared" si="30"/>
        <v>822.62400000000014</v>
      </c>
      <c r="AD165" s="59">
        <f t="shared" si="31"/>
        <v>0.105</v>
      </c>
      <c r="AE165" s="59">
        <f t="shared" si="32"/>
        <v>0.98400000000000021</v>
      </c>
      <c r="AF165" s="59">
        <f t="shared" si="33"/>
        <v>0.48297321325036013</v>
      </c>
      <c r="AG165" s="59">
        <f t="shared" si="34"/>
        <v>0.88537113791518729</v>
      </c>
      <c r="AH165" s="59">
        <f t="shared" si="35"/>
        <v>0.87447015706806297</v>
      </c>
    </row>
    <row r="166" spans="1:34" ht="18" customHeight="1" x14ac:dyDescent="0.3">
      <c r="A166" s="56">
        <v>15036</v>
      </c>
      <c r="B166" s="23" t="s">
        <v>608</v>
      </c>
      <c r="C166" s="14">
        <v>2001</v>
      </c>
      <c r="D166" s="18" t="str">
        <f>VLOOKUP(A166, '전체 목록(n=66)'!C:F, 4, FALSE)</f>
        <v>미국</v>
      </c>
      <c r="E166" s="6">
        <f t="shared" si="36"/>
        <v>955</v>
      </c>
      <c r="F166" s="6" t="s">
        <v>106</v>
      </c>
      <c r="G166" s="6">
        <v>119</v>
      </c>
      <c r="H166" s="6" t="s">
        <v>107</v>
      </c>
      <c r="I166" s="6">
        <f t="shared" si="37"/>
        <v>836</v>
      </c>
      <c r="J166" s="6" t="s">
        <v>174</v>
      </c>
      <c r="K166" s="6" t="s">
        <v>168</v>
      </c>
      <c r="L166" s="19"/>
      <c r="M166" s="19"/>
      <c r="N166" s="19"/>
      <c r="O166" s="19"/>
      <c r="P166" s="19">
        <v>15.8</v>
      </c>
      <c r="Q166" s="19">
        <v>96.8</v>
      </c>
      <c r="R166" s="19"/>
      <c r="S166" s="19"/>
      <c r="T166" s="19"/>
      <c r="U166" s="19"/>
      <c r="V166" s="19"/>
      <c r="W166" s="19"/>
      <c r="X166" s="19"/>
      <c r="Y166" s="19"/>
      <c r="Z166" s="58">
        <f t="shared" si="27"/>
        <v>18.802</v>
      </c>
      <c r="AA166" s="58">
        <f t="shared" si="28"/>
        <v>26.751999999999953</v>
      </c>
      <c r="AB166" s="58">
        <f t="shared" si="29"/>
        <v>100.19800000000001</v>
      </c>
      <c r="AC166" s="58">
        <f t="shared" si="30"/>
        <v>809.24800000000005</v>
      </c>
      <c r="AD166" s="59">
        <f t="shared" si="31"/>
        <v>0.158</v>
      </c>
      <c r="AE166" s="59">
        <f t="shared" si="32"/>
        <v>0.96800000000000008</v>
      </c>
      <c r="AF166" s="59">
        <f t="shared" si="33"/>
        <v>0.41274092286078101</v>
      </c>
      <c r="AG166" s="59">
        <f t="shared" si="34"/>
        <v>0.88982523426349669</v>
      </c>
      <c r="AH166" s="59">
        <f t="shared" si="35"/>
        <v>0.86706806282722515</v>
      </c>
    </row>
    <row r="167" spans="1:34" ht="18" customHeight="1" x14ac:dyDescent="0.3">
      <c r="A167" s="56">
        <v>15036</v>
      </c>
      <c r="B167" s="23" t="s">
        <v>608</v>
      </c>
      <c r="C167" s="14">
        <v>2001</v>
      </c>
      <c r="D167" s="18" t="str">
        <f>VLOOKUP(A167, '전체 목록(n=66)'!C:F, 4, FALSE)</f>
        <v>미국</v>
      </c>
      <c r="E167" s="6">
        <f t="shared" si="36"/>
        <v>955</v>
      </c>
      <c r="F167" s="6" t="s">
        <v>106</v>
      </c>
      <c r="G167" s="6">
        <v>119</v>
      </c>
      <c r="H167" s="6" t="s">
        <v>107</v>
      </c>
      <c r="I167" s="6">
        <f t="shared" si="37"/>
        <v>836</v>
      </c>
      <c r="J167" s="6" t="s">
        <v>39</v>
      </c>
      <c r="K167" s="6" t="s">
        <v>199</v>
      </c>
      <c r="L167" s="19"/>
      <c r="M167" s="19"/>
      <c r="N167" s="19"/>
      <c r="O167" s="19"/>
      <c r="P167" s="19">
        <v>42.9</v>
      </c>
      <c r="Q167" s="19">
        <v>89.4</v>
      </c>
      <c r="R167" s="19"/>
      <c r="S167" s="19"/>
      <c r="T167" s="19"/>
      <c r="U167" s="19"/>
      <c r="V167" s="19"/>
      <c r="W167" s="19"/>
      <c r="X167" s="19"/>
      <c r="Y167" s="19"/>
      <c r="Z167" s="58">
        <f t="shared" si="27"/>
        <v>51.050999999999995</v>
      </c>
      <c r="AA167" s="58">
        <f t="shared" si="28"/>
        <v>88.615999999999872</v>
      </c>
      <c r="AB167" s="58">
        <f t="shared" si="29"/>
        <v>67.949000000000012</v>
      </c>
      <c r="AC167" s="58">
        <f t="shared" si="30"/>
        <v>747.38400000000013</v>
      </c>
      <c r="AD167" s="59">
        <f t="shared" si="31"/>
        <v>0.42899999999999994</v>
      </c>
      <c r="AE167" s="59">
        <f t="shared" si="32"/>
        <v>0.89400000000000013</v>
      </c>
      <c r="AF167" s="59">
        <f t="shared" si="33"/>
        <v>0.3655194140348117</v>
      </c>
      <c r="AG167" s="59">
        <f t="shared" si="34"/>
        <v>0.9166610452416375</v>
      </c>
      <c r="AH167" s="59">
        <f t="shared" si="35"/>
        <v>0.83605759162303683</v>
      </c>
    </row>
    <row r="168" spans="1:34" ht="18" customHeight="1" x14ac:dyDescent="0.3">
      <c r="A168" s="56">
        <v>15036</v>
      </c>
      <c r="B168" s="23" t="s">
        <v>608</v>
      </c>
      <c r="C168" s="14">
        <v>2001</v>
      </c>
      <c r="D168" s="18" t="str">
        <f>VLOOKUP(A168, '전체 목록(n=66)'!C:F, 4, FALSE)</f>
        <v>미국</v>
      </c>
      <c r="E168" s="6">
        <f t="shared" si="36"/>
        <v>955</v>
      </c>
      <c r="F168" s="6" t="s">
        <v>106</v>
      </c>
      <c r="G168" s="6">
        <v>119</v>
      </c>
      <c r="H168" s="6" t="s">
        <v>107</v>
      </c>
      <c r="I168" s="6">
        <f t="shared" si="37"/>
        <v>836</v>
      </c>
      <c r="J168" s="6" t="s">
        <v>121</v>
      </c>
      <c r="K168" s="6" t="s">
        <v>199</v>
      </c>
      <c r="L168" s="19"/>
      <c r="M168" s="19"/>
      <c r="N168" s="19"/>
      <c r="O168" s="19"/>
      <c r="P168" s="19">
        <v>35.700000000000003</v>
      </c>
      <c r="Q168" s="19">
        <v>98.3</v>
      </c>
      <c r="R168" s="19"/>
      <c r="S168" s="19"/>
      <c r="T168" s="19"/>
      <c r="U168" s="19"/>
      <c r="V168" s="19"/>
      <c r="W168" s="19"/>
      <c r="X168" s="19"/>
      <c r="Y168" s="19"/>
      <c r="Z168" s="58">
        <f t="shared" si="27"/>
        <v>42.483000000000004</v>
      </c>
      <c r="AA168" s="58">
        <f t="shared" si="28"/>
        <v>14.211999999999989</v>
      </c>
      <c r="AB168" s="58">
        <f t="shared" si="29"/>
        <v>76.516999999999996</v>
      </c>
      <c r="AC168" s="58">
        <f t="shared" si="30"/>
        <v>821.78800000000001</v>
      </c>
      <c r="AD168" s="59">
        <f t="shared" si="31"/>
        <v>0.35700000000000004</v>
      </c>
      <c r="AE168" s="59">
        <f t="shared" si="32"/>
        <v>0.98299999999999998</v>
      </c>
      <c r="AF168" s="59">
        <f t="shared" si="33"/>
        <v>0.74932533733133444</v>
      </c>
      <c r="AG168" s="59">
        <f t="shared" si="34"/>
        <v>0.9148206900774235</v>
      </c>
      <c r="AH168" s="59">
        <f t="shared" si="35"/>
        <v>0.90499581151832453</v>
      </c>
    </row>
    <row r="169" spans="1:34" ht="18" customHeight="1" x14ac:dyDescent="0.3">
      <c r="A169" s="56">
        <v>15036</v>
      </c>
      <c r="B169" s="23" t="s">
        <v>608</v>
      </c>
      <c r="C169" s="14">
        <v>2001</v>
      </c>
      <c r="D169" s="18" t="str">
        <f>VLOOKUP(A169, '전체 목록(n=66)'!C:F, 4, FALSE)</f>
        <v>미국</v>
      </c>
      <c r="E169" s="6">
        <f t="shared" si="36"/>
        <v>955</v>
      </c>
      <c r="F169" s="6" t="s">
        <v>106</v>
      </c>
      <c r="G169" s="6">
        <v>119</v>
      </c>
      <c r="H169" s="6" t="s">
        <v>107</v>
      </c>
      <c r="I169" s="6">
        <f t="shared" si="37"/>
        <v>836</v>
      </c>
      <c r="J169" s="6" t="s">
        <v>174</v>
      </c>
      <c r="K169" s="6" t="s">
        <v>199</v>
      </c>
      <c r="L169" s="19"/>
      <c r="M169" s="19"/>
      <c r="N169" s="19"/>
      <c r="O169" s="19"/>
      <c r="P169" s="19">
        <v>35.700000000000003</v>
      </c>
      <c r="Q169" s="19">
        <v>94.2</v>
      </c>
      <c r="R169" s="19"/>
      <c r="S169" s="19"/>
      <c r="T169" s="19"/>
      <c r="U169" s="19"/>
      <c r="V169" s="19"/>
      <c r="W169" s="19"/>
      <c r="X169" s="19"/>
      <c r="Y169" s="19"/>
      <c r="Z169" s="58">
        <f t="shared" si="27"/>
        <v>42.483000000000004</v>
      </c>
      <c r="AA169" s="58">
        <f t="shared" si="28"/>
        <v>48.488000000000056</v>
      </c>
      <c r="AB169" s="58">
        <f t="shared" si="29"/>
        <v>76.516999999999996</v>
      </c>
      <c r="AC169" s="58">
        <f t="shared" si="30"/>
        <v>787.51199999999994</v>
      </c>
      <c r="AD169" s="59">
        <f t="shared" si="31"/>
        <v>0.35700000000000004</v>
      </c>
      <c r="AE169" s="59">
        <f t="shared" si="32"/>
        <v>0.94199999999999995</v>
      </c>
      <c r="AF169" s="59">
        <f t="shared" si="33"/>
        <v>0.46699497642105697</v>
      </c>
      <c r="AG169" s="59">
        <f t="shared" si="34"/>
        <v>0.91144162985270161</v>
      </c>
      <c r="AH169" s="59">
        <f t="shared" si="35"/>
        <v>0.86910471204188466</v>
      </c>
    </row>
    <row r="170" spans="1:34" ht="18" customHeight="1" x14ac:dyDescent="0.3">
      <c r="A170" s="56">
        <v>15036</v>
      </c>
      <c r="B170" s="23" t="s">
        <v>608</v>
      </c>
      <c r="C170" s="14">
        <v>2001</v>
      </c>
      <c r="D170" s="18" t="str">
        <f>VLOOKUP(A170, '전체 목록(n=66)'!C:F, 4, FALSE)</f>
        <v>미국</v>
      </c>
      <c r="E170" s="6">
        <f t="shared" si="36"/>
        <v>955</v>
      </c>
      <c r="F170" s="6" t="s">
        <v>106</v>
      </c>
      <c r="G170" s="6">
        <v>119</v>
      </c>
      <c r="H170" s="6" t="s">
        <v>107</v>
      </c>
      <c r="I170" s="6">
        <f t="shared" si="37"/>
        <v>836</v>
      </c>
      <c r="J170" s="6" t="s">
        <v>39</v>
      </c>
      <c r="K170" s="6" t="s">
        <v>166</v>
      </c>
      <c r="L170" s="19"/>
      <c r="M170" s="19"/>
      <c r="N170" s="19"/>
      <c r="O170" s="19"/>
      <c r="P170" s="19">
        <v>78.7</v>
      </c>
      <c r="Q170" s="19">
        <v>89.4</v>
      </c>
      <c r="R170" s="19"/>
      <c r="S170" s="19"/>
      <c r="T170" s="19"/>
      <c r="U170" s="19"/>
      <c r="V170" s="19"/>
      <c r="W170" s="19"/>
      <c r="X170" s="19"/>
      <c r="Y170" s="19"/>
      <c r="Z170" s="58">
        <f t="shared" si="27"/>
        <v>93.653000000000006</v>
      </c>
      <c r="AA170" s="58">
        <f t="shared" si="28"/>
        <v>88.615999999999872</v>
      </c>
      <c r="AB170" s="58">
        <f t="shared" si="29"/>
        <v>25.346999999999994</v>
      </c>
      <c r="AC170" s="58">
        <f t="shared" si="30"/>
        <v>747.38400000000013</v>
      </c>
      <c r="AD170" s="59">
        <f t="shared" si="31"/>
        <v>0.78700000000000003</v>
      </c>
      <c r="AE170" s="59">
        <f t="shared" si="32"/>
        <v>0.89400000000000013</v>
      </c>
      <c r="AF170" s="59">
        <f t="shared" si="33"/>
        <v>0.51381748953469908</v>
      </c>
      <c r="AG170" s="59">
        <f t="shared" si="34"/>
        <v>0.96719815822064859</v>
      </c>
      <c r="AH170" s="59">
        <f t="shared" si="35"/>
        <v>0.88066701570680639</v>
      </c>
    </row>
    <row r="171" spans="1:34" ht="18" customHeight="1" x14ac:dyDescent="0.3">
      <c r="A171" s="56">
        <v>15036</v>
      </c>
      <c r="B171" s="23" t="s">
        <v>608</v>
      </c>
      <c r="C171" s="14">
        <v>2001</v>
      </c>
      <c r="D171" s="18" t="str">
        <f>VLOOKUP(A171, '전체 목록(n=66)'!C:F, 4, FALSE)</f>
        <v>미국</v>
      </c>
      <c r="E171" s="6">
        <f t="shared" si="36"/>
        <v>955</v>
      </c>
      <c r="F171" s="6" t="s">
        <v>106</v>
      </c>
      <c r="G171" s="6">
        <v>119</v>
      </c>
      <c r="H171" s="6" t="s">
        <v>107</v>
      </c>
      <c r="I171" s="6">
        <f t="shared" si="37"/>
        <v>836</v>
      </c>
      <c r="J171" s="6" t="s">
        <v>121</v>
      </c>
      <c r="K171" s="6" t="s">
        <v>166</v>
      </c>
      <c r="L171" s="19"/>
      <c r="M171" s="19"/>
      <c r="N171" s="19"/>
      <c r="O171" s="19"/>
      <c r="P171" s="19">
        <v>61.7</v>
      </c>
      <c r="Q171" s="19">
        <v>96.1</v>
      </c>
      <c r="R171" s="19"/>
      <c r="S171" s="19"/>
      <c r="T171" s="19"/>
      <c r="U171" s="19"/>
      <c r="V171" s="19"/>
      <c r="W171" s="19"/>
      <c r="X171" s="19"/>
      <c r="Y171" s="19"/>
      <c r="Z171" s="58">
        <f t="shared" si="27"/>
        <v>73.423000000000002</v>
      </c>
      <c r="AA171" s="58">
        <f t="shared" si="28"/>
        <v>32.604000000000042</v>
      </c>
      <c r="AB171" s="58">
        <f t="shared" si="29"/>
        <v>45.576999999999998</v>
      </c>
      <c r="AC171" s="58">
        <f t="shared" si="30"/>
        <v>803.39599999999996</v>
      </c>
      <c r="AD171" s="59">
        <f t="shared" si="31"/>
        <v>0.61699999999999999</v>
      </c>
      <c r="AE171" s="59">
        <f t="shared" si="32"/>
        <v>0.96099999999999997</v>
      </c>
      <c r="AF171" s="59">
        <f t="shared" si="33"/>
        <v>0.69249342148697945</v>
      </c>
      <c r="AG171" s="59">
        <f t="shared" si="34"/>
        <v>0.94631513605261885</v>
      </c>
      <c r="AH171" s="59">
        <f t="shared" si="35"/>
        <v>0.91813507853403142</v>
      </c>
    </row>
    <row r="172" spans="1:34" ht="18" customHeight="1" x14ac:dyDescent="0.3">
      <c r="A172" s="56">
        <v>15036</v>
      </c>
      <c r="B172" s="23" t="s">
        <v>608</v>
      </c>
      <c r="C172" s="14">
        <v>2001</v>
      </c>
      <c r="D172" s="18" t="str">
        <f>VLOOKUP(A172, '전체 목록(n=66)'!C:F, 4, FALSE)</f>
        <v>미국</v>
      </c>
      <c r="E172" s="6">
        <f t="shared" si="36"/>
        <v>955</v>
      </c>
      <c r="F172" s="6" t="s">
        <v>106</v>
      </c>
      <c r="G172" s="6">
        <v>119</v>
      </c>
      <c r="H172" s="6" t="s">
        <v>107</v>
      </c>
      <c r="I172" s="6">
        <f t="shared" si="37"/>
        <v>836</v>
      </c>
      <c r="J172" s="6" t="s">
        <v>174</v>
      </c>
      <c r="K172" s="6" t="s">
        <v>166</v>
      </c>
      <c r="L172" s="19"/>
      <c r="M172" s="19"/>
      <c r="N172" s="19"/>
      <c r="O172" s="19"/>
      <c r="P172" s="19">
        <v>57.5</v>
      </c>
      <c r="Q172" s="19">
        <v>94.3</v>
      </c>
      <c r="R172" s="19"/>
      <c r="S172" s="19"/>
      <c r="T172" s="19"/>
      <c r="U172" s="19"/>
      <c r="V172" s="19"/>
      <c r="W172" s="19"/>
      <c r="X172" s="19"/>
      <c r="Y172" s="19"/>
      <c r="Z172" s="58">
        <f t="shared" si="27"/>
        <v>68.424999999999997</v>
      </c>
      <c r="AA172" s="58">
        <f t="shared" si="28"/>
        <v>47.65199999999993</v>
      </c>
      <c r="AB172" s="58">
        <f t="shared" si="29"/>
        <v>50.575000000000003</v>
      </c>
      <c r="AC172" s="58">
        <f t="shared" si="30"/>
        <v>788.34800000000007</v>
      </c>
      <c r="AD172" s="59">
        <f t="shared" si="31"/>
        <v>0.57499999999999996</v>
      </c>
      <c r="AE172" s="59">
        <f t="shared" si="32"/>
        <v>0.94300000000000006</v>
      </c>
      <c r="AF172" s="59">
        <f t="shared" si="33"/>
        <v>0.58947939729662246</v>
      </c>
      <c r="AG172" s="59">
        <f t="shared" si="34"/>
        <v>0.93971437187918316</v>
      </c>
      <c r="AH172" s="59">
        <f t="shared" si="35"/>
        <v>0.8971445026178011</v>
      </c>
    </row>
    <row r="173" spans="1:34" ht="18" customHeight="1" x14ac:dyDescent="0.3">
      <c r="A173" s="56">
        <v>15036</v>
      </c>
      <c r="B173" s="23" t="s">
        <v>608</v>
      </c>
      <c r="C173" s="14">
        <v>2001</v>
      </c>
      <c r="D173" s="18" t="str">
        <f>VLOOKUP(A173, '전체 목록(n=66)'!C:F, 4, FALSE)</f>
        <v>미국</v>
      </c>
      <c r="E173" s="6">
        <f t="shared" si="36"/>
        <v>955</v>
      </c>
      <c r="F173" s="6" t="s">
        <v>106</v>
      </c>
      <c r="G173" s="6">
        <v>119</v>
      </c>
      <c r="H173" s="6" t="s">
        <v>107</v>
      </c>
      <c r="I173" s="6">
        <f t="shared" si="37"/>
        <v>836</v>
      </c>
      <c r="J173" s="6" t="s">
        <v>39</v>
      </c>
      <c r="K173" s="6" t="s">
        <v>503</v>
      </c>
      <c r="L173" s="19"/>
      <c r="M173" s="19"/>
      <c r="N173" s="19"/>
      <c r="O173" s="19"/>
      <c r="P173" s="19">
        <v>86.5</v>
      </c>
      <c r="Q173" s="19">
        <v>90.2</v>
      </c>
      <c r="R173" s="19"/>
      <c r="S173" s="19"/>
      <c r="T173" s="19"/>
      <c r="U173" s="19"/>
      <c r="V173" s="19"/>
      <c r="W173" s="19"/>
      <c r="X173" s="19"/>
      <c r="Y173" s="19"/>
      <c r="Z173" s="58">
        <f t="shared" si="27"/>
        <v>102.935</v>
      </c>
      <c r="AA173" s="58">
        <f t="shared" si="28"/>
        <v>81.927999999999997</v>
      </c>
      <c r="AB173" s="58">
        <f t="shared" si="29"/>
        <v>16.064999999999998</v>
      </c>
      <c r="AC173" s="58">
        <f t="shared" si="30"/>
        <v>754.072</v>
      </c>
      <c r="AD173" s="59">
        <f t="shared" si="31"/>
        <v>0.86499999999999999</v>
      </c>
      <c r="AE173" s="59">
        <f t="shared" si="32"/>
        <v>0.90200000000000002</v>
      </c>
      <c r="AF173" s="59">
        <f t="shared" si="33"/>
        <v>0.55681775152410162</v>
      </c>
      <c r="AG173" s="59">
        <f t="shared" si="34"/>
        <v>0.97914007507755119</v>
      </c>
      <c r="AH173" s="59">
        <f t="shared" si="35"/>
        <v>0.89738952879581158</v>
      </c>
    </row>
    <row r="174" spans="1:34" ht="18" customHeight="1" x14ac:dyDescent="0.3">
      <c r="A174" s="56">
        <v>15036</v>
      </c>
      <c r="B174" s="23" t="s">
        <v>608</v>
      </c>
      <c r="C174" s="14">
        <v>2001</v>
      </c>
      <c r="D174" s="18" t="str">
        <f>VLOOKUP(A174, '전체 목록(n=66)'!C:F, 4, FALSE)</f>
        <v>미국</v>
      </c>
      <c r="E174" s="6">
        <f t="shared" si="36"/>
        <v>955</v>
      </c>
      <c r="F174" s="6" t="s">
        <v>106</v>
      </c>
      <c r="G174" s="6">
        <v>119</v>
      </c>
      <c r="H174" s="6" t="s">
        <v>107</v>
      </c>
      <c r="I174" s="6">
        <f t="shared" si="37"/>
        <v>836</v>
      </c>
      <c r="J174" s="6" t="s">
        <v>121</v>
      </c>
      <c r="K174" s="6" t="s">
        <v>503</v>
      </c>
      <c r="L174" s="19"/>
      <c r="M174" s="19"/>
      <c r="N174" s="19"/>
      <c r="O174" s="19"/>
      <c r="P174" s="19">
        <v>86.5</v>
      </c>
      <c r="Q174" s="19">
        <v>96.4</v>
      </c>
      <c r="R174" s="19"/>
      <c r="S174" s="19"/>
      <c r="T174" s="19"/>
      <c r="U174" s="19"/>
      <c r="V174" s="19"/>
      <c r="W174" s="19"/>
      <c r="X174" s="19"/>
      <c r="Y174" s="19"/>
      <c r="Z174" s="58">
        <f t="shared" si="27"/>
        <v>102.935</v>
      </c>
      <c r="AA174" s="58">
        <f t="shared" si="28"/>
        <v>30.09599999999989</v>
      </c>
      <c r="AB174" s="58">
        <f t="shared" si="29"/>
        <v>16.064999999999998</v>
      </c>
      <c r="AC174" s="58">
        <f t="shared" si="30"/>
        <v>805.90400000000011</v>
      </c>
      <c r="AD174" s="59">
        <f t="shared" si="31"/>
        <v>0.86499999999999999</v>
      </c>
      <c r="AE174" s="59">
        <f t="shared" si="32"/>
        <v>0.96400000000000008</v>
      </c>
      <c r="AF174" s="59">
        <f t="shared" si="33"/>
        <v>0.7737670167103915</v>
      </c>
      <c r="AG174" s="59">
        <f t="shared" si="34"/>
        <v>0.98045546729864519</v>
      </c>
      <c r="AH174" s="59">
        <f t="shared" si="35"/>
        <v>0.95166387434554989</v>
      </c>
    </row>
    <row r="175" spans="1:34" ht="18" customHeight="1" x14ac:dyDescent="0.3">
      <c r="A175" s="56">
        <v>15036</v>
      </c>
      <c r="B175" s="23" t="s">
        <v>608</v>
      </c>
      <c r="C175" s="14">
        <v>2001</v>
      </c>
      <c r="D175" s="18" t="str">
        <f>VLOOKUP(A175, '전체 목록(n=66)'!C:F, 4, FALSE)</f>
        <v>미국</v>
      </c>
      <c r="E175" s="6">
        <f t="shared" si="36"/>
        <v>955</v>
      </c>
      <c r="F175" s="6" t="s">
        <v>106</v>
      </c>
      <c r="G175" s="6">
        <v>119</v>
      </c>
      <c r="H175" s="6" t="s">
        <v>107</v>
      </c>
      <c r="I175" s="6">
        <f t="shared" si="37"/>
        <v>836</v>
      </c>
      <c r="J175" s="6" t="s">
        <v>174</v>
      </c>
      <c r="K175" s="6" t="s">
        <v>503</v>
      </c>
      <c r="L175" s="19"/>
      <c r="M175" s="19"/>
      <c r="N175" s="19"/>
      <c r="O175" s="19"/>
      <c r="P175" s="19">
        <v>92.3</v>
      </c>
      <c r="Q175" s="19">
        <v>94.6</v>
      </c>
      <c r="R175" s="19"/>
      <c r="S175" s="19"/>
      <c r="T175" s="19"/>
      <c r="U175" s="19"/>
      <c r="V175" s="19"/>
      <c r="W175" s="19"/>
      <c r="X175" s="19"/>
      <c r="Y175" s="19"/>
      <c r="Z175" s="58">
        <f t="shared" si="27"/>
        <v>109.83699999999999</v>
      </c>
      <c r="AA175" s="58">
        <f t="shared" si="28"/>
        <v>45.144000000000119</v>
      </c>
      <c r="AB175" s="58">
        <f t="shared" si="29"/>
        <v>9.1630000000000109</v>
      </c>
      <c r="AC175" s="58">
        <f t="shared" si="30"/>
        <v>790.85599999999988</v>
      </c>
      <c r="AD175" s="59">
        <f t="shared" si="31"/>
        <v>0.92299999999999993</v>
      </c>
      <c r="AE175" s="59">
        <f t="shared" si="32"/>
        <v>0.94599999999999984</v>
      </c>
      <c r="AF175" s="59">
        <f t="shared" si="33"/>
        <v>0.7087126809092722</v>
      </c>
      <c r="AG175" s="59">
        <f t="shared" si="34"/>
        <v>0.98854652202010196</v>
      </c>
      <c r="AH175" s="59">
        <f t="shared" si="35"/>
        <v>0.94313403141361241</v>
      </c>
    </row>
    <row r="176" spans="1:34" ht="18" customHeight="1" x14ac:dyDescent="0.3">
      <c r="A176" s="56">
        <v>15036</v>
      </c>
      <c r="B176" s="23" t="s">
        <v>608</v>
      </c>
      <c r="C176" s="14">
        <v>2001</v>
      </c>
      <c r="D176" s="18" t="str">
        <f>VLOOKUP(A176, '전체 목록(n=66)'!C:F, 4, FALSE)</f>
        <v>미국</v>
      </c>
      <c r="E176" s="6">
        <f t="shared" si="36"/>
        <v>955</v>
      </c>
      <c r="F176" s="6" t="s">
        <v>106</v>
      </c>
      <c r="G176" s="6">
        <v>119</v>
      </c>
      <c r="H176" s="6" t="s">
        <v>107</v>
      </c>
      <c r="I176" s="6">
        <f t="shared" si="37"/>
        <v>836</v>
      </c>
      <c r="J176" s="6" t="s">
        <v>39</v>
      </c>
      <c r="K176" s="6" t="s">
        <v>504</v>
      </c>
      <c r="L176" s="19"/>
      <c r="M176" s="19"/>
      <c r="N176" s="19"/>
      <c r="O176" s="19"/>
      <c r="P176" s="19">
        <v>62.3</v>
      </c>
      <c r="Q176" s="19">
        <v>88.3</v>
      </c>
      <c r="R176" s="19"/>
      <c r="S176" s="19"/>
      <c r="T176" s="19"/>
      <c r="U176" s="19"/>
      <c r="V176" s="19"/>
      <c r="W176" s="19"/>
      <c r="X176" s="19"/>
      <c r="Y176" s="19"/>
      <c r="Z176" s="58">
        <f t="shared" si="27"/>
        <v>74.137</v>
      </c>
      <c r="AA176" s="58">
        <f t="shared" si="28"/>
        <v>97.812000000000012</v>
      </c>
      <c r="AB176" s="58">
        <f t="shared" si="29"/>
        <v>44.863</v>
      </c>
      <c r="AC176" s="58">
        <f t="shared" si="30"/>
        <v>738.18799999999999</v>
      </c>
      <c r="AD176" s="59">
        <f t="shared" si="31"/>
        <v>0.623</v>
      </c>
      <c r="AE176" s="59">
        <f t="shared" si="32"/>
        <v>0.88300000000000001</v>
      </c>
      <c r="AF176" s="59">
        <f t="shared" si="33"/>
        <v>0.43115691280554114</v>
      </c>
      <c r="AG176" s="59">
        <f t="shared" si="34"/>
        <v>0.94270743540331348</v>
      </c>
      <c r="AH176" s="59">
        <f t="shared" si="35"/>
        <v>0.85060209424083777</v>
      </c>
    </row>
    <row r="177" spans="1:34" ht="18" customHeight="1" x14ac:dyDescent="0.3">
      <c r="A177" s="56">
        <v>15036</v>
      </c>
      <c r="B177" s="23" t="s">
        <v>608</v>
      </c>
      <c r="C177" s="14">
        <v>2001</v>
      </c>
      <c r="D177" s="18" t="str">
        <f>VLOOKUP(A177, '전체 목록(n=66)'!C:F, 4, FALSE)</f>
        <v>미국</v>
      </c>
      <c r="E177" s="6">
        <f t="shared" si="36"/>
        <v>955</v>
      </c>
      <c r="F177" s="6" t="s">
        <v>106</v>
      </c>
      <c r="G177" s="6">
        <v>119</v>
      </c>
      <c r="H177" s="6" t="s">
        <v>107</v>
      </c>
      <c r="I177" s="6">
        <f t="shared" si="37"/>
        <v>836</v>
      </c>
      <c r="J177" s="6" t="s">
        <v>121</v>
      </c>
      <c r="K177" s="6" t="s">
        <v>504</v>
      </c>
      <c r="L177" s="19"/>
      <c r="M177" s="19"/>
      <c r="N177" s="19"/>
      <c r="O177" s="19"/>
      <c r="P177" s="19">
        <v>84.9</v>
      </c>
      <c r="Q177" s="19">
        <v>96.1</v>
      </c>
      <c r="R177" s="19"/>
      <c r="S177" s="19"/>
      <c r="T177" s="19"/>
      <c r="U177" s="19"/>
      <c r="V177" s="19"/>
      <c r="W177" s="19"/>
      <c r="X177" s="19"/>
      <c r="Y177" s="19"/>
      <c r="Z177" s="58">
        <f t="shared" si="27"/>
        <v>101.03100000000001</v>
      </c>
      <c r="AA177" s="58">
        <f t="shared" si="28"/>
        <v>32.604000000000042</v>
      </c>
      <c r="AB177" s="58">
        <f t="shared" si="29"/>
        <v>17.968999999999994</v>
      </c>
      <c r="AC177" s="58">
        <f t="shared" si="30"/>
        <v>803.39599999999996</v>
      </c>
      <c r="AD177" s="59">
        <f t="shared" si="31"/>
        <v>0.84900000000000009</v>
      </c>
      <c r="AE177" s="59">
        <f t="shared" si="32"/>
        <v>0.96099999999999997</v>
      </c>
      <c r="AF177" s="59">
        <f t="shared" si="33"/>
        <v>0.75602200022449184</v>
      </c>
      <c r="AG177" s="59">
        <f t="shared" si="34"/>
        <v>0.97812300256280693</v>
      </c>
      <c r="AH177" s="59">
        <f t="shared" si="35"/>
        <v>0.94704397905759152</v>
      </c>
    </row>
    <row r="178" spans="1:34" ht="18" customHeight="1" x14ac:dyDescent="0.3">
      <c r="A178" s="56">
        <v>15036</v>
      </c>
      <c r="B178" s="23" t="s">
        <v>608</v>
      </c>
      <c r="C178" s="14">
        <v>2001</v>
      </c>
      <c r="D178" s="18" t="str">
        <f>VLOOKUP(A178, '전체 목록(n=66)'!C:F, 4, FALSE)</f>
        <v>미국</v>
      </c>
      <c r="E178" s="6">
        <f t="shared" si="36"/>
        <v>955</v>
      </c>
      <c r="F178" s="6" t="s">
        <v>106</v>
      </c>
      <c r="G178" s="6">
        <v>119</v>
      </c>
      <c r="H178" s="6" t="s">
        <v>107</v>
      </c>
      <c r="I178" s="6">
        <f t="shared" si="37"/>
        <v>836</v>
      </c>
      <c r="J178" s="6" t="s">
        <v>174</v>
      </c>
      <c r="K178" s="6" t="s">
        <v>504</v>
      </c>
      <c r="L178" s="19"/>
      <c r="M178" s="19"/>
      <c r="N178" s="19"/>
      <c r="O178" s="19"/>
      <c r="P178" s="19">
        <v>90.6</v>
      </c>
      <c r="Q178" s="19">
        <v>92.2</v>
      </c>
      <c r="R178" s="19"/>
      <c r="S178" s="19"/>
      <c r="T178" s="19"/>
      <c r="U178" s="19"/>
      <c r="V178" s="19"/>
      <c r="W178" s="19"/>
      <c r="X178" s="19"/>
      <c r="Y178" s="19"/>
      <c r="Z178" s="58">
        <f t="shared" si="27"/>
        <v>107.81399999999999</v>
      </c>
      <c r="AA178" s="58">
        <f t="shared" si="28"/>
        <v>65.208000000000084</v>
      </c>
      <c r="AB178" s="58">
        <f t="shared" si="29"/>
        <v>11.186000000000007</v>
      </c>
      <c r="AC178" s="58">
        <f t="shared" si="30"/>
        <v>770.79199999999992</v>
      </c>
      <c r="AD178" s="59">
        <f t="shared" si="31"/>
        <v>0.90599999999999992</v>
      </c>
      <c r="AE178" s="59">
        <f t="shared" si="32"/>
        <v>0.92199999999999993</v>
      </c>
      <c r="AF178" s="59">
        <f t="shared" si="33"/>
        <v>0.62312307105454767</v>
      </c>
      <c r="AG178" s="59">
        <f t="shared" si="34"/>
        <v>0.98569524973848366</v>
      </c>
      <c r="AH178" s="59">
        <f t="shared" si="35"/>
        <v>0.92000628272251295</v>
      </c>
    </row>
    <row r="179" spans="1:34" ht="18" customHeight="1" x14ac:dyDescent="0.3">
      <c r="A179" s="56">
        <v>15036</v>
      </c>
      <c r="B179" s="23" t="s">
        <v>608</v>
      </c>
      <c r="C179" s="14">
        <v>2001</v>
      </c>
      <c r="D179" s="18" t="str">
        <f>VLOOKUP(A179, '전체 목록(n=66)'!C:F, 4, FALSE)</f>
        <v>미국</v>
      </c>
      <c r="E179" s="6">
        <f t="shared" si="36"/>
        <v>955</v>
      </c>
      <c r="F179" s="6" t="s">
        <v>106</v>
      </c>
      <c r="G179" s="6">
        <v>119</v>
      </c>
      <c r="H179" s="6" t="s">
        <v>107</v>
      </c>
      <c r="I179" s="6">
        <f t="shared" si="37"/>
        <v>836</v>
      </c>
      <c r="J179" s="6" t="s">
        <v>39</v>
      </c>
      <c r="K179" s="6" t="s">
        <v>505</v>
      </c>
      <c r="L179" s="19"/>
      <c r="M179" s="19"/>
      <c r="N179" s="19"/>
      <c r="O179" s="19"/>
      <c r="P179" s="19">
        <v>57.5</v>
      </c>
      <c r="Q179" s="19">
        <v>88.8</v>
      </c>
      <c r="R179" s="19"/>
      <c r="S179" s="19"/>
      <c r="T179" s="19"/>
      <c r="U179" s="19"/>
      <c r="V179" s="19"/>
      <c r="W179" s="19"/>
      <c r="X179" s="19"/>
      <c r="Y179" s="19"/>
      <c r="Z179" s="58">
        <f t="shared" si="27"/>
        <v>68.424999999999997</v>
      </c>
      <c r="AA179" s="58">
        <f t="shared" si="28"/>
        <v>93.631999999999948</v>
      </c>
      <c r="AB179" s="58">
        <f t="shared" si="29"/>
        <v>50.575000000000003</v>
      </c>
      <c r="AC179" s="58">
        <f t="shared" si="30"/>
        <v>742.36800000000005</v>
      </c>
      <c r="AD179" s="59">
        <f t="shared" si="31"/>
        <v>0.57499999999999996</v>
      </c>
      <c r="AE179" s="59">
        <f t="shared" si="32"/>
        <v>0.88800000000000001</v>
      </c>
      <c r="AF179" s="59">
        <f t="shared" si="33"/>
        <v>0.42222798151267771</v>
      </c>
      <c r="AG179" s="59">
        <f t="shared" si="34"/>
        <v>0.9362186184883402</v>
      </c>
      <c r="AH179" s="59">
        <f t="shared" si="35"/>
        <v>0.84899790575916234</v>
      </c>
    </row>
    <row r="180" spans="1:34" ht="18" customHeight="1" x14ac:dyDescent="0.3">
      <c r="A180" s="56">
        <v>15036</v>
      </c>
      <c r="B180" s="23" t="s">
        <v>608</v>
      </c>
      <c r="C180" s="14">
        <v>2001</v>
      </c>
      <c r="D180" s="18" t="str">
        <f>VLOOKUP(A180, '전체 목록(n=66)'!C:F, 4, FALSE)</f>
        <v>미국</v>
      </c>
      <c r="E180" s="6">
        <f t="shared" si="36"/>
        <v>955</v>
      </c>
      <c r="F180" s="6" t="s">
        <v>106</v>
      </c>
      <c r="G180" s="6">
        <v>119</v>
      </c>
      <c r="H180" s="6" t="s">
        <v>107</v>
      </c>
      <c r="I180" s="6">
        <f t="shared" si="37"/>
        <v>836</v>
      </c>
      <c r="J180" s="6" t="s">
        <v>121</v>
      </c>
      <c r="K180" s="6" t="s">
        <v>505</v>
      </c>
      <c r="L180" s="19"/>
      <c r="M180" s="19"/>
      <c r="N180" s="19"/>
      <c r="O180" s="19"/>
      <c r="P180" s="19">
        <v>78.7</v>
      </c>
      <c r="Q180" s="19">
        <v>95.7</v>
      </c>
      <c r="R180" s="19"/>
      <c r="S180" s="19"/>
      <c r="T180" s="19"/>
      <c r="U180" s="19"/>
      <c r="V180" s="19"/>
      <c r="W180" s="19"/>
      <c r="X180" s="19"/>
      <c r="Y180" s="19"/>
      <c r="Z180" s="58">
        <f t="shared" si="27"/>
        <v>93.653000000000006</v>
      </c>
      <c r="AA180" s="58">
        <f t="shared" si="28"/>
        <v>35.947999999999979</v>
      </c>
      <c r="AB180" s="58">
        <f t="shared" si="29"/>
        <v>25.346999999999994</v>
      </c>
      <c r="AC180" s="58">
        <f t="shared" si="30"/>
        <v>800.05200000000002</v>
      </c>
      <c r="AD180" s="59">
        <f t="shared" si="31"/>
        <v>0.78700000000000003</v>
      </c>
      <c r="AE180" s="59">
        <f t="shared" si="32"/>
        <v>0.95700000000000007</v>
      </c>
      <c r="AF180" s="59">
        <f t="shared" si="33"/>
        <v>0.72262559702471441</v>
      </c>
      <c r="AG180" s="59">
        <f t="shared" si="34"/>
        <v>0.96929121552122066</v>
      </c>
      <c r="AH180" s="59">
        <f t="shared" si="35"/>
        <v>0.93581675392670161</v>
      </c>
    </row>
    <row r="181" spans="1:34" ht="18" customHeight="1" x14ac:dyDescent="0.3">
      <c r="A181" s="56">
        <v>15036</v>
      </c>
      <c r="B181" s="23" t="s">
        <v>608</v>
      </c>
      <c r="C181" s="14">
        <v>2001</v>
      </c>
      <c r="D181" s="18" t="str">
        <f>VLOOKUP(A181, '전체 목록(n=66)'!C:F, 4, FALSE)</f>
        <v>미국</v>
      </c>
      <c r="E181" s="6">
        <f t="shared" si="36"/>
        <v>955</v>
      </c>
      <c r="F181" s="6" t="s">
        <v>106</v>
      </c>
      <c r="G181" s="6">
        <v>119</v>
      </c>
      <c r="H181" s="6" t="s">
        <v>107</v>
      </c>
      <c r="I181" s="6">
        <f t="shared" si="37"/>
        <v>836</v>
      </c>
      <c r="J181" s="6" t="s">
        <v>174</v>
      </c>
      <c r="K181" s="6" t="s">
        <v>505</v>
      </c>
      <c r="L181" s="19"/>
      <c r="M181" s="19"/>
      <c r="N181" s="19"/>
      <c r="O181" s="19"/>
      <c r="P181" s="19">
        <v>95.7</v>
      </c>
      <c r="Q181" s="19">
        <v>93.4</v>
      </c>
      <c r="R181" s="19"/>
      <c r="S181" s="19"/>
      <c r="T181" s="19"/>
      <c r="U181" s="19"/>
      <c r="V181" s="19"/>
      <c r="W181" s="19"/>
      <c r="X181" s="19"/>
      <c r="Y181" s="19"/>
      <c r="Z181" s="58">
        <f t="shared" si="27"/>
        <v>113.88300000000001</v>
      </c>
      <c r="AA181" s="58">
        <f t="shared" si="28"/>
        <v>55.175999999999931</v>
      </c>
      <c r="AB181" s="58">
        <f t="shared" si="29"/>
        <v>5.1169999999999902</v>
      </c>
      <c r="AC181" s="58">
        <f t="shared" si="30"/>
        <v>780.82400000000007</v>
      </c>
      <c r="AD181" s="59">
        <f t="shared" si="31"/>
        <v>0.95700000000000007</v>
      </c>
      <c r="AE181" s="59">
        <f t="shared" si="32"/>
        <v>0.93400000000000005</v>
      </c>
      <c r="AF181" s="59">
        <f t="shared" si="33"/>
        <v>0.67362873316416194</v>
      </c>
      <c r="AG181" s="59">
        <f t="shared" si="34"/>
        <v>0.99348933316877486</v>
      </c>
      <c r="AH181" s="59">
        <f t="shared" si="35"/>
        <v>0.9368659685863876</v>
      </c>
    </row>
    <row r="182" spans="1:34" ht="18" customHeight="1" x14ac:dyDescent="0.3">
      <c r="A182" s="56">
        <v>3059</v>
      </c>
      <c r="B182" s="23" t="s">
        <v>604</v>
      </c>
      <c r="C182" s="14">
        <v>2000</v>
      </c>
      <c r="D182" s="18" t="str">
        <f>VLOOKUP(A182, '전체 목록(n=66)'!C:F, 4, FALSE)</f>
        <v>크로아티아</v>
      </c>
      <c r="E182" s="6">
        <f t="shared" si="36"/>
        <v>66</v>
      </c>
      <c r="F182" s="6" t="s">
        <v>97</v>
      </c>
      <c r="G182" s="6">
        <v>41</v>
      </c>
      <c r="H182" s="6" t="s">
        <v>98</v>
      </c>
      <c r="I182" s="6">
        <v>25</v>
      </c>
      <c r="J182" s="6" t="s">
        <v>39</v>
      </c>
      <c r="K182" s="6" t="s">
        <v>302</v>
      </c>
      <c r="L182" s="19"/>
      <c r="M182" s="19"/>
      <c r="N182" s="19"/>
      <c r="O182" s="19"/>
      <c r="P182" s="19">
        <v>52</v>
      </c>
      <c r="Q182" s="19">
        <v>45</v>
      </c>
      <c r="R182" s="19"/>
      <c r="S182" s="19"/>
      <c r="T182" s="19"/>
      <c r="U182" s="19"/>
      <c r="V182" s="19"/>
      <c r="W182" s="19"/>
      <c r="X182" s="19"/>
      <c r="Y182" s="19"/>
      <c r="Z182" s="58">
        <f t="shared" si="27"/>
        <v>21.32</v>
      </c>
      <c r="AA182" s="58">
        <f t="shared" si="28"/>
        <v>13.75</v>
      </c>
      <c r="AB182" s="58">
        <f t="shared" si="29"/>
        <v>19.68</v>
      </c>
      <c r="AC182" s="58">
        <f t="shared" si="30"/>
        <v>11.25</v>
      </c>
      <c r="AD182" s="59">
        <f t="shared" si="31"/>
        <v>0.52</v>
      </c>
      <c r="AE182" s="59">
        <f t="shared" si="32"/>
        <v>0.45</v>
      </c>
      <c r="AF182" s="59">
        <f t="shared" si="33"/>
        <v>0.60792700313658399</v>
      </c>
      <c r="AG182" s="59">
        <f t="shared" si="34"/>
        <v>0.36372453928225024</v>
      </c>
      <c r="AH182" s="59">
        <f t="shared" si="35"/>
        <v>0.49348484848484847</v>
      </c>
    </row>
    <row r="183" spans="1:34" ht="18" customHeight="1" x14ac:dyDescent="0.3">
      <c r="A183" s="56">
        <v>3059</v>
      </c>
      <c r="B183" s="23" t="s">
        <v>604</v>
      </c>
      <c r="C183" s="14">
        <v>2000</v>
      </c>
      <c r="D183" s="18" t="str">
        <f>VLOOKUP(A183, '전체 목록(n=66)'!C:F, 4, FALSE)</f>
        <v>크로아티아</v>
      </c>
      <c r="E183" s="6">
        <f t="shared" si="36"/>
        <v>66</v>
      </c>
      <c r="F183" s="6" t="s">
        <v>97</v>
      </c>
      <c r="G183" s="6">
        <v>41</v>
      </c>
      <c r="H183" s="6" t="s">
        <v>98</v>
      </c>
      <c r="I183" s="6">
        <v>25</v>
      </c>
      <c r="J183" s="6" t="s">
        <v>51</v>
      </c>
      <c r="K183" s="6" t="s">
        <v>302</v>
      </c>
      <c r="L183" s="19"/>
      <c r="M183" s="19"/>
      <c r="N183" s="19"/>
      <c r="O183" s="19"/>
      <c r="P183" s="19">
        <v>4</v>
      </c>
      <c r="Q183" s="19">
        <v>100</v>
      </c>
      <c r="R183" s="19"/>
      <c r="S183" s="19"/>
      <c r="T183" s="19"/>
      <c r="U183" s="19"/>
      <c r="V183" s="19"/>
      <c r="W183" s="19"/>
      <c r="X183" s="19"/>
      <c r="Y183" s="19"/>
      <c r="Z183" s="58">
        <f t="shared" si="27"/>
        <v>1.64</v>
      </c>
      <c r="AA183" s="58">
        <f t="shared" si="28"/>
        <v>0</v>
      </c>
      <c r="AB183" s="58">
        <f t="shared" si="29"/>
        <v>39.36</v>
      </c>
      <c r="AC183" s="58">
        <f t="shared" si="30"/>
        <v>25</v>
      </c>
      <c r="AD183" s="59">
        <f t="shared" si="31"/>
        <v>0.04</v>
      </c>
      <c r="AE183" s="59">
        <f t="shared" si="32"/>
        <v>1</v>
      </c>
      <c r="AF183" s="59">
        <f t="shared" si="33"/>
        <v>1</v>
      </c>
      <c r="AG183" s="59">
        <f t="shared" si="34"/>
        <v>0.3884400248601616</v>
      </c>
      <c r="AH183" s="59">
        <f t="shared" si="35"/>
        <v>0.40363636363636363</v>
      </c>
    </row>
    <row r="184" spans="1:34" ht="18" customHeight="1" x14ac:dyDescent="0.3">
      <c r="A184" s="56">
        <v>3059</v>
      </c>
      <c r="B184" s="23" t="s">
        <v>604</v>
      </c>
      <c r="C184" s="14">
        <v>2000</v>
      </c>
      <c r="D184" s="18" t="str">
        <f>VLOOKUP(A184, '전체 목록(n=66)'!C:F, 4, FALSE)</f>
        <v>크로아티아</v>
      </c>
      <c r="E184" s="6">
        <f t="shared" si="36"/>
        <v>66</v>
      </c>
      <c r="F184" s="6" t="s">
        <v>97</v>
      </c>
      <c r="G184" s="6">
        <v>41</v>
      </c>
      <c r="H184" s="6" t="s">
        <v>98</v>
      </c>
      <c r="I184" s="6">
        <v>25</v>
      </c>
      <c r="J184" s="6" t="s">
        <v>39</v>
      </c>
      <c r="K184" s="6" t="s">
        <v>190</v>
      </c>
      <c r="L184" s="19"/>
      <c r="M184" s="19"/>
      <c r="N184" s="19"/>
      <c r="O184" s="19"/>
      <c r="P184" s="19">
        <v>96</v>
      </c>
      <c r="Q184" s="19">
        <v>54</v>
      </c>
      <c r="R184" s="19"/>
      <c r="S184" s="19"/>
      <c r="T184" s="19"/>
      <c r="U184" s="19"/>
      <c r="V184" s="19"/>
      <c r="W184" s="19"/>
      <c r="X184" s="19"/>
      <c r="Y184" s="19"/>
      <c r="Z184" s="58">
        <f t="shared" si="27"/>
        <v>39.36</v>
      </c>
      <c r="AA184" s="58">
        <f t="shared" si="28"/>
        <v>11.5</v>
      </c>
      <c r="AB184" s="58">
        <f t="shared" si="29"/>
        <v>1.6400000000000006</v>
      </c>
      <c r="AC184" s="58">
        <f t="shared" si="30"/>
        <v>13.5</v>
      </c>
      <c r="AD184" s="59">
        <f t="shared" si="31"/>
        <v>0.96</v>
      </c>
      <c r="AE184" s="59">
        <f t="shared" si="32"/>
        <v>0.54</v>
      </c>
      <c r="AF184" s="59">
        <f t="shared" si="33"/>
        <v>0.77388910735351946</v>
      </c>
      <c r="AG184" s="59">
        <f t="shared" si="34"/>
        <v>0.89167767503302509</v>
      </c>
      <c r="AH184" s="59">
        <f t="shared" si="35"/>
        <v>0.8009090909090909</v>
      </c>
    </row>
    <row r="185" spans="1:34" ht="18" customHeight="1" x14ac:dyDescent="0.3">
      <c r="A185" s="56">
        <v>3059</v>
      </c>
      <c r="B185" s="23" t="s">
        <v>604</v>
      </c>
      <c r="C185" s="14">
        <v>2000</v>
      </c>
      <c r="D185" s="18" t="str">
        <f>VLOOKUP(A185, '전체 목록(n=66)'!C:F, 4, FALSE)</f>
        <v>크로아티아</v>
      </c>
      <c r="E185" s="6">
        <f t="shared" si="36"/>
        <v>66</v>
      </c>
      <c r="F185" s="6" t="s">
        <v>97</v>
      </c>
      <c r="G185" s="6">
        <v>41</v>
      </c>
      <c r="H185" s="6" t="s">
        <v>98</v>
      </c>
      <c r="I185" s="6">
        <v>25</v>
      </c>
      <c r="J185" s="6" t="s">
        <v>51</v>
      </c>
      <c r="K185" s="6" t="s">
        <v>190</v>
      </c>
      <c r="L185" s="19"/>
      <c r="M185" s="19"/>
      <c r="N185" s="19"/>
      <c r="O185" s="19"/>
      <c r="P185" s="19">
        <v>50</v>
      </c>
      <c r="Q185" s="19">
        <v>100</v>
      </c>
      <c r="R185" s="19"/>
      <c r="S185" s="19"/>
      <c r="T185" s="19"/>
      <c r="U185" s="19"/>
      <c r="V185" s="19"/>
      <c r="W185" s="19"/>
      <c r="X185" s="19"/>
      <c r="Y185" s="19"/>
      <c r="Z185" s="58">
        <f t="shared" si="27"/>
        <v>20.5</v>
      </c>
      <c r="AA185" s="58">
        <f t="shared" si="28"/>
        <v>0</v>
      </c>
      <c r="AB185" s="58">
        <f t="shared" si="29"/>
        <v>20.5</v>
      </c>
      <c r="AC185" s="58">
        <f t="shared" si="30"/>
        <v>25</v>
      </c>
      <c r="AD185" s="59">
        <f t="shared" si="31"/>
        <v>0.5</v>
      </c>
      <c r="AE185" s="59">
        <f t="shared" si="32"/>
        <v>1</v>
      </c>
      <c r="AF185" s="59">
        <f t="shared" si="33"/>
        <v>1</v>
      </c>
      <c r="AG185" s="59">
        <f t="shared" si="34"/>
        <v>0.5494505494505495</v>
      </c>
      <c r="AH185" s="59">
        <f t="shared" si="35"/>
        <v>0.68939393939393945</v>
      </c>
    </row>
    <row r="186" spans="1:34" ht="18" customHeight="1" x14ac:dyDescent="0.3">
      <c r="A186" s="56">
        <v>3059</v>
      </c>
      <c r="B186" s="23" t="s">
        <v>604</v>
      </c>
      <c r="C186" s="14">
        <v>2000</v>
      </c>
      <c r="D186" s="18" t="str">
        <f>VLOOKUP(A186, '전체 목록(n=66)'!C:F, 4, FALSE)</f>
        <v>크로아티아</v>
      </c>
      <c r="E186" s="6">
        <f t="shared" si="36"/>
        <v>66</v>
      </c>
      <c r="F186" s="6" t="s">
        <v>97</v>
      </c>
      <c r="G186" s="6">
        <v>41</v>
      </c>
      <c r="H186" s="6" t="s">
        <v>98</v>
      </c>
      <c r="I186" s="6">
        <v>25</v>
      </c>
      <c r="J186" s="6" t="s">
        <v>39</v>
      </c>
      <c r="K186" s="6" t="s">
        <v>191</v>
      </c>
      <c r="L186" s="19"/>
      <c r="M186" s="19"/>
      <c r="N186" s="19"/>
      <c r="O186" s="19"/>
      <c r="P186" s="19">
        <v>97</v>
      </c>
      <c r="Q186" s="19">
        <v>45</v>
      </c>
      <c r="R186" s="19"/>
      <c r="S186" s="19"/>
      <c r="T186" s="19"/>
      <c r="U186" s="19"/>
      <c r="V186" s="19"/>
      <c r="W186" s="19"/>
      <c r="X186" s="19"/>
      <c r="Y186" s="19"/>
      <c r="Z186" s="58">
        <f t="shared" si="27"/>
        <v>39.770000000000003</v>
      </c>
      <c r="AA186" s="58">
        <f t="shared" si="28"/>
        <v>13.75</v>
      </c>
      <c r="AB186" s="58">
        <f t="shared" si="29"/>
        <v>1.2299999999999969</v>
      </c>
      <c r="AC186" s="58">
        <f t="shared" si="30"/>
        <v>11.25</v>
      </c>
      <c r="AD186" s="59">
        <f t="shared" si="31"/>
        <v>0.97000000000000008</v>
      </c>
      <c r="AE186" s="59">
        <f t="shared" si="32"/>
        <v>0.45</v>
      </c>
      <c r="AF186" s="59">
        <f t="shared" si="33"/>
        <v>0.74308669656203286</v>
      </c>
      <c r="AG186" s="59">
        <f t="shared" si="34"/>
        <v>0.90144230769230793</v>
      </c>
      <c r="AH186" s="59">
        <f t="shared" si="35"/>
        <v>0.77303030303030307</v>
      </c>
    </row>
    <row r="187" spans="1:34" ht="18" customHeight="1" x14ac:dyDescent="0.3">
      <c r="A187" s="56">
        <v>3059</v>
      </c>
      <c r="B187" s="23" t="s">
        <v>604</v>
      </c>
      <c r="C187" s="14">
        <v>2000</v>
      </c>
      <c r="D187" s="18" t="str">
        <f>VLOOKUP(A187, '전체 목록(n=66)'!C:F, 4, FALSE)</f>
        <v>크로아티아</v>
      </c>
      <c r="E187" s="6">
        <f t="shared" si="36"/>
        <v>66</v>
      </c>
      <c r="F187" s="6" t="s">
        <v>97</v>
      </c>
      <c r="G187" s="6">
        <v>41</v>
      </c>
      <c r="H187" s="6" t="s">
        <v>98</v>
      </c>
      <c r="I187" s="6">
        <v>25</v>
      </c>
      <c r="J187" s="6" t="s">
        <v>51</v>
      </c>
      <c r="K187" s="6" t="s">
        <v>191</v>
      </c>
      <c r="L187" s="19"/>
      <c r="M187" s="19"/>
      <c r="N187" s="19"/>
      <c r="O187" s="19"/>
      <c r="P187" s="19">
        <v>74</v>
      </c>
      <c r="Q187" s="19">
        <v>100</v>
      </c>
      <c r="R187" s="19"/>
      <c r="S187" s="19"/>
      <c r="T187" s="19"/>
      <c r="U187" s="19"/>
      <c r="V187" s="19"/>
      <c r="W187" s="19"/>
      <c r="X187" s="19"/>
      <c r="Y187" s="19"/>
      <c r="Z187" s="58">
        <f t="shared" si="27"/>
        <v>30.34</v>
      </c>
      <c r="AA187" s="58">
        <f t="shared" si="28"/>
        <v>0</v>
      </c>
      <c r="AB187" s="58">
        <f t="shared" si="29"/>
        <v>10.66</v>
      </c>
      <c r="AC187" s="58">
        <f t="shared" si="30"/>
        <v>25</v>
      </c>
      <c r="AD187" s="59">
        <f t="shared" si="31"/>
        <v>0.74</v>
      </c>
      <c r="AE187" s="59">
        <f t="shared" si="32"/>
        <v>1</v>
      </c>
      <c r="AF187" s="59">
        <f t="shared" si="33"/>
        <v>1</v>
      </c>
      <c r="AG187" s="59">
        <f t="shared" si="34"/>
        <v>0.70106561974200787</v>
      </c>
      <c r="AH187" s="59">
        <f t="shared" si="35"/>
        <v>0.8384848484848485</v>
      </c>
    </row>
    <row r="188" spans="1:34" ht="18" customHeight="1" x14ac:dyDescent="0.3">
      <c r="A188" s="56">
        <v>3080</v>
      </c>
      <c r="B188" s="23" t="s">
        <v>584</v>
      </c>
      <c r="C188" s="14">
        <v>2000</v>
      </c>
      <c r="D188" s="18" t="str">
        <f>VLOOKUP(A188, '전체 목록(n=66)'!C:F, 4, FALSE)</f>
        <v>스웨덴</v>
      </c>
      <c r="E188" s="6">
        <f t="shared" si="36"/>
        <v>738</v>
      </c>
      <c r="F188" s="6" t="s">
        <v>97</v>
      </c>
      <c r="G188" s="6">
        <v>156</v>
      </c>
      <c r="H188" s="6" t="s">
        <v>98</v>
      </c>
      <c r="I188" s="6">
        <f t="shared" ref="I188:I194" si="38">238+87+257</f>
        <v>582</v>
      </c>
      <c r="J188" s="6" t="s">
        <v>39</v>
      </c>
      <c r="K188" s="6" t="s">
        <v>237</v>
      </c>
      <c r="L188" s="19"/>
      <c r="M188" s="19"/>
      <c r="N188" s="19"/>
      <c r="O188" s="19"/>
      <c r="P188" s="19">
        <v>78</v>
      </c>
      <c r="Q188" s="19">
        <v>82</v>
      </c>
      <c r="R188" s="19"/>
      <c r="S188" s="19"/>
      <c r="T188" s="19"/>
      <c r="U188" s="19"/>
      <c r="V188" s="19"/>
      <c r="W188" s="19"/>
      <c r="X188" s="19"/>
      <c r="Y188" s="19"/>
      <c r="Z188" s="58">
        <f t="shared" si="27"/>
        <v>121.68</v>
      </c>
      <c r="AA188" s="58">
        <f t="shared" si="28"/>
        <v>104.75999999999999</v>
      </c>
      <c r="AB188" s="58">
        <f t="shared" si="29"/>
        <v>34.319999999999993</v>
      </c>
      <c r="AC188" s="58">
        <f t="shared" si="30"/>
        <v>477.24</v>
      </c>
      <c r="AD188" s="59">
        <f t="shared" si="31"/>
        <v>0.78</v>
      </c>
      <c r="AE188" s="59">
        <f t="shared" si="32"/>
        <v>0.82000000000000006</v>
      </c>
      <c r="AF188" s="59">
        <f t="shared" si="33"/>
        <v>0.5373608903020668</v>
      </c>
      <c r="AG188" s="59">
        <f t="shared" si="34"/>
        <v>0.93291109547267181</v>
      </c>
      <c r="AH188" s="59">
        <f t="shared" si="35"/>
        <v>0.81154471544715456</v>
      </c>
    </row>
    <row r="189" spans="1:34" ht="18" customHeight="1" x14ac:dyDescent="0.3">
      <c r="A189" s="56">
        <v>3080</v>
      </c>
      <c r="B189" s="23" t="s">
        <v>584</v>
      </c>
      <c r="C189" s="14">
        <v>2000</v>
      </c>
      <c r="D189" s="18" t="str">
        <f>VLOOKUP(A189, '전체 목록(n=66)'!C:F, 4, FALSE)</f>
        <v>스웨덴</v>
      </c>
      <c r="E189" s="6">
        <f t="shared" si="36"/>
        <v>738</v>
      </c>
      <c r="F189" s="6" t="s">
        <v>97</v>
      </c>
      <c r="G189" s="6">
        <v>156</v>
      </c>
      <c r="H189" s="6" t="s">
        <v>98</v>
      </c>
      <c r="I189" s="6">
        <f t="shared" si="38"/>
        <v>582</v>
      </c>
      <c r="J189" s="6" t="s">
        <v>121</v>
      </c>
      <c r="K189" s="6" t="s">
        <v>238</v>
      </c>
      <c r="L189" s="19"/>
      <c r="M189" s="19"/>
      <c r="N189" s="19"/>
      <c r="O189" s="19"/>
      <c r="P189" s="19">
        <v>59</v>
      </c>
      <c r="Q189" s="19">
        <v>93</v>
      </c>
      <c r="R189" s="19"/>
      <c r="S189" s="19"/>
      <c r="T189" s="19"/>
      <c r="U189" s="19"/>
      <c r="V189" s="19"/>
      <c r="W189" s="19"/>
      <c r="X189" s="19"/>
      <c r="Y189" s="19"/>
      <c r="Z189" s="58">
        <f t="shared" si="27"/>
        <v>92.04</v>
      </c>
      <c r="AA189" s="58">
        <f t="shared" si="28"/>
        <v>40.740000000000009</v>
      </c>
      <c r="AB189" s="58">
        <f t="shared" si="29"/>
        <v>63.959999999999994</v>
      </c>
      <c r="AC189" s="58">
        <f t="shared" si="30"/>
        <v>541.26</v>
      </c>
      <c r="AD189" s="59">
        <f t="shared" si="31"/>
        <v>0.59000000000000008</v>
      </c>
      <c r="AE189" s="59">
        <f t="shared" si="32"/>
        <v>0.92999999999999994</v>
      </c>
      <c r="AF189" s="59">
        <f t="shared" si="33"/>
        <v>0.69317668323542692</v>
      </c>
      <c r="AG189" s="59">
        <f t="shared" si="34"/>
        <v>0.89431942103697826</v>
      </c>
      <c r="AH189" s="59">
        <f t="shared" si="35"/>
        <v>0.85813008130081292</v>
      </c>
    </row>
    <row r="190" spans="1:34" ht="18" customHeight="1" x14ac:dyDescent="0.3">
      <c r="A190" s="56">
        <v>3080</v>
      </c>
      <c r="B190" s="23" t="s">
        <v>584</v>
      </c>
      <c r="C190" s="14">
        <v>2000</v>
      </c>
      <c r="D190" s="18" t="str">
        <f>VLOOKUP(A190, '전체 목록(n=66)'!C:F, 4, FALSE)</f>
        <v>스웨덴</v>
      </c>
      <c r="E190" s="6">
        <f t="shared" si="36"/>
        <v>738</v>
      </c>
      <c r="F190" s="6" t="s">
        <v>97</v>
      </c>
      <c r="G190" s="6">
        <v>156</v>
      </c>
      <c r="H190" s="6" t="s">
        <v>98</v>
      </c>
      <c r="I190" s="6">
        <f t="shared" si="38"/>
        <v>582</v>
      </c>
      <c r="J190" s="6" t="s">
        <v>121</v>
      </c>
      <c r="K190" s="6" t="s">
        <v>236</v>
      </c>
      <c r="L190" s="19"/>
      <c r="M190" s="19"/>
      <c r="N190" s="19"/>
      <c r="O190" s="19"/>
      <c r="P190" s="19">
        <v>46</v>
      </c>
      <c r="Q190" s="19">
        <v>95</v>
      </c>
      <c r="R190" s="19"/>
      <c r="S190" s="19"/>
      <c r="T190" s="19"/>
      <c r="U190" s="19"/>
      <c r="V190" s="19"/>
      <c r="W190" s="19"/>
      <c r="X190" s="19"/>
      <c r="Y190" s="19"/>
      <c r="Z190" s="58">
        <f t="shared" si="27"/>
        <v>71.760000000000005</v>
      </c>
      <c r="AA190" s="58">
        <f t="shared" si="28"/>
        <v>29.100000000000023</v>
      </c>
      <c r="AB190" s="58">
        <f t="shared" si="29"/>
        <v>84.24</v>
      </c>
      <c r="AC190" s="58">
        <f t="shared" si="30"/>
        <v>552.9</v>
      </c>
      <c r="AD190" s="59">
        <f t="shared" si="31"/>
        <v>0.46</v>
      </c>
      <c r="AE190" s="59">
        <f t="shared" si="32"/>
        <v>0.95</v>
      </c>
      <c r="AF190" s="59">
        <f t="shared" si="33"/>
        <v>0.71148126115407484</v>
      </c>
      <c r="AG190" s="59">
        <f t="shared" si="34"/>
        <v>0.86778416046708728</v>
      </c>
      <c r="AH190" s="59">
        <f t="shared" si="35"/>
        <v>0.84642276422764229</v>
      </c>
    </row>
    <row r="191" spans="1:34" ht="18" customHeight="1" x14ac:dyDescent="0.3">
      <c r="A191" s="56">
        <v>3080</v>
      </c>
      <c r="B191" s="23" t="s">
        <v>584</v>
      </c>
      <c r="C191" s="14">
        <v>2000</v>
      </c>
      <c r="D191" s="18" t="str">
        <f>VLOOKUP(A191, '전체 목록(n=66)'!C:F, 4, FALSE)</f>
        <v>스웨덴</v>
      </c>
      <c r="E191" s="6">
        <f t="shared" si="36"/>
        <v>738</v>
      </c>
      <c r="F191" s="6" t="s">
        <v>97</v>
      </c>
      <c r="G191" s="6">
        <v>156</v>
      </c>
      <c r="H191" s="6" t="s">
        <v>98</v>
      </c>
      <c r="I191" s="6">
        <f t="shared" si="38"/>
        <v>582</v>
      </c>
      <c r="J191" s="6" t="s">
        <v>39</v>
      </c>
      <c r="K191" s="6" t="s">
        <v>239</v>
      </c>
      <c r="L191" s="19"/>
      <c r="M191" s="19"/>
      <c r="N191" s="19"/>
      <c r="O191" s="19"/>
      <c r="P191" s="19">
        <v>92</v>
      </c>
      <c r="Q191" s="19">
        <v>76</v>
      </c>
      <c r="R191" s="19"/>
      <c r="S191" s="19"/>
      <c r="T191" s="19"/>
      <c r="U191" s="19"/>
      <c r="V191" s="19"/>
      <c r="W191" s="19"/>
      <c r="X191" s="19"/>
      <c r="Y191" s="19"/>
      <c r="Z191" s="58">
        <f t="shared" si="27"/>
        <v>143.52000000000001</v>
      </c>
      <c r="AA191" s="58">
        <f t="shared" si="28"/>
        <v>139.68</v>
      </c>
      <c r="AB191" s="58">
        <f t="shared" si="29"/>
        <v>12.47999999999999</v>
      </c>
      <c r="AC191" s="58">
        <f t="shared" si="30"/>
        <v>442.32</v>
      </c>
      <c r="AD191" s="59">
        <f t="shared" si="31"/>
        <v>0.92</v>
      </c>
      <c r="AE191" s="59">
        <f t="shared" si="32"/>
        <v>0.76</v>
      </c>
      <c r="AF191" s="59">
        <f t="shared" si="33"/>
        <v>0.50677966101694916</v>
      </c>
      <c r="AG191" s="59">
        <f t="shared" si="34"/>
        <v>0.97255936675461752</v>
      </c>
      <c r="AH191" s="59">
        <f t="shared" si="35"/>
        <v>0.79382113821138212</v>
      </c>
    </row>
    <row r="192" spans="1:34" ht="18" customHeight="1" x14ac:dyDescent="0.3">
      <c r="A192" s="56">
        <v>3080</v>
      </c>
      <c r="B192" s="23" t="s">
        <v>584</v>
      </c>
      <c r="C192" s="14">
        <v>2000</v>
      </c>
      <c r="D192" s="18" t="str">
        <f>VLOOKUP(A192, '전체 목록(n=66)'!C:F, 4, FALSE)</f>
        <v>스웨덴</v>
      </c>
      <c r="E192" s="6">
        <f t="shared" si="36"/>
        <v>738</v>
      </c>
      <c r="F192" s="6" t="s">
        <v>97</v>
      </c>
      <c r="G192" s="6">
        <v>156</v>
      </c>
      <c r="H192" s="6" t="s">
        <v>98</v>
      </c>
      <c r="I192" s="6">
        <f t="shared" si="38"/>
        <v>582</v>
      </c>
      <c r="J192" s="6" t="s">
        <v>39</v>
      </c>
      <c r="K192" s="6" t="s">
        <v>240</v>
      </c>
      <c r="L192" s="19"/>
      <c r="M192" s="19"/>
      <c r="N192" s="19"/>
      <c r="O192" s="19"/>
      <c r="P192" s="19">
        <v>93</v>
      </c>
      <c r="Q192" s="19">
        <v>74</v>
      </c>
      <c r="R192" s="19"/>
      <c r="S192" s="19"/>
      <c r="T192" s="19"/>
      <c r="U192" s="19"/>
      <c r="V192" s="19"/>
      <c r="W192" s="19"/>
      <c r="X192" s="19"/>
      <c r="Y192" s="19"/>
      <c r="Z192" s="58">
        <f t="shared" si="27"/>
        <v>145.08000000000001</v>
      </c>
      <c r="AA192" s="58">
        <f t="shared" si="28"/>
        <v>151.32</v>
      </c>
      <c r="AB192" s="58">
        <f t="shared" si="29"/>
        <v>10.919999999999987</v>
      </c>
      <c r="AC192" s="58">
        <f t="shared" si="30"/>
        <v>430.68</v>
      </c>
      <c r="AD192" s="59">
        <f t="shared" si="31"/>
        <v>0.93</v>
      </c>
      <c r="AE192" s="59">
        <f t="shared" si="32"/>
        <v>0.74</v>
      </c>
      <c r="AF192" s="59">
        <f t="shared" si="33"/>
        <v>0.48947368421052639</v>
      </c>
      <c r="AG192" s="59">
        <f t="shared" si="34"/>
        <v>0.97527173913043474</v>
      </c>
      <c r="AH192" s="59">
        <f t="shared" si="35"/>
        <v>0.78016260162601625</v>
      </c>
    </row>
    <row r="193" spans="1:35" ht="18" customHeight="1" x14ac:dyDescent="0.3">
      <c r="A193" s="56">
        <v>3080</v>
      </c>
      <c r="B193" s="23" t="s">
        <v>584</v>
      </c>
      <c r="C193" s="14">
        <v>2000</v>
      </c>
      <c r="D193" s="18" t="str">
        <f>VLOOKUP(A193, '전체 목록(n=66)'!C:F, 4, FALSE)</f>
        <v>스웨덴</v>
      </c>
      <c r="E193" s="6">
        <f t="shared" si="36"/>
        <v>738</v>
      </c>
      <c r="F193" s="6" t="s">
        <v>97</v>
      </c>
      <c r="G193" s="6">
        <v>156</v>
      </c>
      <c r="H193" s="6" t="s">
        <v>98</v>
      </c>
      <c r="I193" s="6">
        <f t="shared" si="38"/>
        <v>582</v>
      </c>
      <c r="J193" s="6" t="s">
        <v>121</v>
      </c>
      <c r="K193" s="6" t="s">
        <v>241</v>
      </c>
      <c r="L193" s="19"/>
      <c r="M193" s="19"/>
      <c r="N193" s="19"/>
      <c r="O193" s="19"/>
      <c r="P193" s="19">
        <v>93</v>
      </c>
      <c r="Q193" s="19">
        <v>88</v>
      </c>
      <c r="R193" s="19"/>
      <c r="S193" s="19"/>
      <c r="T193" s="19"/>
      <c r="U193" s="19"/>
      <c r="V193" s="19"/>
      <c r="W193" s="19"/>
      <c r="X193" s="19"/>
      <c r="Y193" s="19"/>
      <c r="Z193" s="58">
        <f t="shared" si="27"/>
        <v>145.08000000000001</v>
      </c>
      <c r="AA193" s="58">
        <f t="shared" si="28"/>
        <v>69.840000000000032</v>
      </c>
      <c r="AB193" s="58">
        <f t="shared" si="29"/>
        <v>10.919999999999987</v>
      </c>
      <c r="AC193" s="58">
        <f t="shared" si="30"/>
        <v>512.16</v>
      </c>
      <c r="AD193" s="59">
        <f t="shared" si="31"/>
        <v>0.93</v>
      </c>
      <c r="AE193" s="59">
        <f t="shared" si="32"/>
        <v>0.87999999999999989</v>
      </c>
      <c r="AF193" s="59">
        <f t="shared" si="33"/>
        <v>0.67504187604690113</v>
      </c>
      <c r="AG193" s="59">
        <f t="shared" si="34"/>
        <v>0.97912365221381059</v>
      </c>
      <c r="AH193" s="59">
        <f t="shared" si="35"/>
        <v>0.89056910569105696</v>
      </c>
    </row>
    <row r="194" spans="1:35" ht="18" customHeight="1" x14ac:dyDescent="0.3">
      <c r="A194" s="56">
        <v>3080</v>
      </c>
      <c r="B194" s="23" t="s">
        <v>584</v>
      </c>
      <c r="C194" s="14">
        <v>2000</v>
      </c>
      <c r="D194" s="18" t="str">
        <f>VLOOKUP(A194, '전체 목록(n=66)'!C:F, 4, FALSE)</f>
        <v>스웨덴</v>
      </c>
      <c r="E194" s="6">
        <f t="shared" si="36"/>
        <v>738</v>
      </c>
      <c r="F194" s="6" t="s">
        <v>97</v>
      </c>
      <c r="G194" s="6">
        <v>156</v>
      </c>
      <c r="H194" s="6" t="s">
        <v>98</v>
      </c>
      <c r="I194" s="6">
        <f t="shared" si="38"/>
        <v>582</v>
      </c>
      <c r="J194" s="6" t="s">
        <v>121</v>
      </c>
      <c r="K194" s="6" t="s">
        <v>242</v>
      </c>
      <c r="L194" s="19"/>
      <c r="M194" s="19"/>
      <c r="N194" s="19"/>
      <c r="O194" s="19"/>
      <c r="P194" s="19">
        <v>88</v>
      </c>
      <c r="Q194" s="19">
        <v>92</v>
      </c>
      <c r="R194" s="19"/>
      <c r="S194" s="19"/>
      <c r="T194" s="19"/>
      <c r="U194" s="19"/>
      <c r="V194" s="19"/>
      <c r="W194" s="19"/>
      <c r="X194" s="19"/>
      <c r="Y194" s="19"/>
      <c r="Z194" s="58">
        <f t="shared" si="27"/>
        <v>137.28</v>
      </c>
      <c r="AA194" s="58">
        <f t="shared" si="28"/>
        <v>46.559999999999945</v>
      </c>
      <c r="AB194" s="58">
        <f t="shared" si="29"/>
        <v>18.72</v>
      </c>
      <c r="AC194" s="58">
        <f t="shared" si="30"/>
        <v>535.44000000000005</v>
      </c>
      <c r="AD194" s="59">
        <f t="shared" si="31"/>
        <v>0.88</v>
      </c>
      <c r="AE194" s="59">
        <f t="shared" si="32"/>
        <v>0.92</v>
      </c>
      <c r="AF194" s="59">
        <f t="shared" si="33"/>
        <v>0.74673629242819861</v>
      </c>
      <c r="AG194" s="59">
        <f t="shared" si="34"/>
        <v>0.96621914248592455</v>
      </c>
      <c r="AH194" s="59">
        <f t="shared" si="35"/>
        <v>0.91154471544715454</v>
      </c>
    </row>
    <row r="195" spans="1:35" ht="18" customHeight="1" x14ac:dyDescent="0.3">
      <c r="A195" s="56">
        <v>3058</v>
      </c>
      <c r="B195" s="23" t="s">
        <v>580</v>
      </c>
      <c r="C195" s="14">
        <v>2000</v>
      </c>
      <c r="D195" s="18" t="str">
        <f>VLOOKUP(A195, '전체 목록(n=66)'!C:F, 4, FALSE)</f>
        <v>덴마크</v>
      </c>
      <c r="E195" s="6">
        <f t="shared" si="36"/>
        <v>100</v>
      </c>
      <c r="F195" s="6" t="s">
        <v>97</v>
      </c>
      <c r="G195" s="6">
        <v>16</v>
      </c>
      <c r="H195" s="6" t="s">
        <v>98</v>
      </c>
      <c r="I195" s="6">
        <f t="shared" ref="I195:I206" si="39">24+21+39</f>
        <v>84</v>
      </c>
      <c r="J195" s="6" t="s">
        <v>39</v>
      </c>
      <c r="K195" s="6" t="s">
        <v>220</v>
      </c>
      <c r="L195" s="19"/>
      <c r="M195" s="19"/>
      <c r="N195" s="19"/>
      <c r="O195" s="19"/>
      <c r="P195" s="19">
        <v>67</v>
      </c>
      <c r="Q195" s="19">
        <v>91</v>
      </c>
      <c r="R195" s="19">
        <v>58</v>
      </c>
      <c r="S195" s="19">
        <v>93</v>
      </c>
      <c r="T195" s="19"/>
      <c r="U195" s="19"/>
      <c r="V195" s="19"/>
      <c r="W195" s="19"/>
      <c r="X195" s="19"/>
      <c r="Y195" s="19">
        <v>0.84</v>
      </c>
      <c r="Z195" s="58">
        <f t="shared" si="27"/>
        <v>10.72</v>
      </c>
      <c r="AA195" s="58">
        <f t="shared" si="28"/>
        <v>7.5600000000000023</v>
      </c>
      <c r="AB195" s="58">
        <f t="shared" si="29"/>
        <v>5.2799999999999994</v>
      </c>
      <c r="AC195" s="58">
        <f t="shared" si="30"/>
        <v>76.44</v>
      </c>
      <c r="AD195" s="59">
        <f t="shared" si="31"/>
        <v>0.67</v>
      </c>
      <c r="AE195" s="59">
        <f t="shared" si="32"/>
        <v>0.90999999999999992</v>
      </c>
      <c r="AF195" s="59">
        <f t="shared" si="33"/>
        <v>0.58643326039387311</v>
      </c>
      <c r="AG195" s="59">
        <f t="shared" si="34"/>
        <v>0.93538913362701903</v>
      </c>
      <c r="AH195" s="59">
        <f t="shared" si="35"/>
        <v>0.87159999999999993</v>
      </c>
      <c r="AI195" s="19"/>
    </row>
    <row r="196" spans="1:35" ht="18" customHeight="1" x14ac:dyDescent="0.3">
      <c r="A196" s="56">
        <v>3058</v>
      </c>
      <c r="B196" s="23" t="s">
        <v>580</v>
      </c>
      <c r="C196" s="14">
        <v>2000</v>
      </c>
      <c r="D196" s="18" t="str">
        <f>VLOOKUP(A196, '전체 목록(n=66)'!C:F, 4, FALSE)</f>
        <v>덴마크</v>
      </c>
      <c r="E196" s="6">
        <f t="shared" si="36"/>
        <v>100</v>
      </c>
      <c r="F196" s="6" t="s">
        <v>97</v>
      </c>
      <c r="G196" s="6">
        <v>16</v>
      </c>
      <c r="H196" s="6" t="s">
        <v>98</v>
      </c>
      <c r="I196" s="6">
        <f t="shared" si="39"/>
        <v>84</v>
      </c>
      <c r="J196" s="6" t="s">
        <v>174</v>
      </c>
      <c r="K196" s="6" t="s">
        <v>223</v>
      </c>
      <c r="L196" s="19"/>
      <c r="M196" s="19"/>
      <c r="N196" s="19"/>
      <c r="O196" s="19"/>
      <c r="P196" s="19">
        <v>33</v>
      </c>
      <c r="Q196" s="19">
        <v>96</v>
      </c>
      <c r="R196" s="19">
        <v>64</v>
      </c>
      <c r="S196" s="19">
        <v>88</v>
      </c>
      <c r="T196" s="19"/>
      <c r="U196" s="19"/>
      <c r="V196" s="19"/>
      <c r="W196" s="19"/>
      <c r="X196" s="19"/>
      <c r="Y196" s="19">
        <v>0.65</v>
      </c>
      <c r="Z196" s="58">
        <f t="shared" ref="Z196:Z259" si="40">G196*P196/100</f>
        <v>5.28</v>
      </c>
      <c r="AA196" s="58">
        <f t="shared" ref="AA196:AA259" si="41">I196-AC196</f>
        <v>3.3599999999999994</v>
      </c>
      <c r="AB196" s="58">
        <f t="shared" ref="AB196:AB259" si="42">G196-Z196</f>
        <v>10.719999999999999</v>
      </c>
      <c r="AC196" s="58">
        <f t="shared" ref="AC196:AC259" si="43">I196*Q196/100</f>
        <v>80.64</v>
      </c>
      <c r="AD196" s="59">
        <f t="shared" ref="AD196:AD255" si="44">Z196/(Z196+AB196)</f>
        <v>0.33</v>
      </c>
      <c r="AE196" s="59">
        <f t="shared" ref="AE196:AE255" si="45">AC196/(AA196+AC196)</f>
        <v>0.96</v>
      </c>
      <c r="AF196" s="59">
        <f t="shared" ref="AF196:AF255" si="46">Z196/(Z196+AA196)</f>
        <v>0.61111111111111105</v>
      </c>
      <c r="AG196" s="59">
        <f t="shared" ref="AG196:AG255" si="47">AC196/(AB196+AC196)</f>
        <v>0.88266199649737309</v>
      </c>
      <c r="AH196" s="59">
        <f t="shared" ref="AH196:AH255" si="48">(Z196+AC196)/(Z196+AA196+AB196+AC196)</f>
        <v>0.85919999999999996</v>
      </c>
      <c r="AI196" s="19"/>
    </row>
    <row r="197" spans="1:35" ht="18" customHeight="1" x14ac:dyDescent="0.3">
      <c r="A197" s="56">
        <v>3058</v>
      </c>
      <c r="B197" s="23" t="s">
        <v>580</v>
      </c>
      <c r="C197" s="14">
        <v>2000</v>
      </c>
      <c r="D197" s="18" t="str">
        <f>VLOOKUP(A197, '전체 목록(n=66)'!C:F, 4, FALSE)</f>
        <v>덴마크</v>
      </c>
      <c r="E197" s="6">
        <f t="shared" si="36"/>
        <v>100</v>
      </c>
      <c r="F197" s="6" t="s">
        <v>97</v>
      </c>
      <c r="G197" s="6">
        <v>16</v>
      </c>
      <c r="H197" s="6" t="s">
        <v>98</v>
      </c>
      <c r="I197" s="6">
        <f t="shared" si="39"/>
        <v>84</v>
      </c>
      <c r="J197" s="6" t="s">
        <v>39</v>
      </c>
      <c r="K197" s="6" t="s">
        <v>221</v>
      </c>
      <c r="L197" s="19"/>
      <c r="M197" s="19"/>
      <c r="N197" s="19"/>
      <c r="O197" s="19"/>
      <c r="P197" s="19">
        <v>52</v>
      </c>
      <c r="Q197" s="19">
        <v>94</v>
      </c>
      <c r="R197" s="19">
        <v>65</v>
      </c>
      <c r="S197" s="19">
        <v>91</v>
      </c>
      <c r="T197" s="19"/>
      <c r="U197" s="19"/>
      <c r="V197" s="19"/>
      <c r="W197" s="19"/>
      <c r="X197" s="19"/>
      <c r="Y197" s="19"/>
      <c r="Z197" s="58">
        <f t="shared" si="40"/>
        <v>8.32</v>
      </c>
      <c r="AA197" s="58">
        <f t="shared" si="41"/>
        <v>5.0400000000000063</v>
      </c>
      <c r="AB197" s="58">
        <f t="shared" si="42"/>
        <v>7.68</v>
      </c>
      <c r="AC197" s="58">
        <f t="shared" si="43"/>
        <v>78.959999999999994</v>
      </c>
      <c r="AD197" s="59">
        <f t="shared" si="44"/>
        <v>0.52</v>
      </c>
      <c r="AE197" s="59">
        <f t="shared" si="45"/>
        <v>0.94</v>
      </c>
      <c r="AF197" s="59">
        <f t="shared" si="46"/>
        <v>0.62275449101796376</v>
      </c>
      <c r="AG197" s="59">
        <f t="shared" si="47"/>
        <v>0.91135734072022168</v>
      </c>
      <c r="AH197" s="59">
        <f t="shared" si="48"/>
        <v>0.87280000000000002</v>
      </c>
      <c r="AI197" s="19"/>
    </row>
    <row r="198" spans="1:35" ht="18" customHeight="1" x14ac:dyDescent="0.3">
      <c r="A198" s="56">
        <v>3058</v>
      </c>
      <c r="B198" s="23" t="s">
        <v>580</v>
      </c>
      <c r="C198" s="14">
        <v>2000</v>
      </c>
      <c r="D198" s="18" t="str">
        <f>VLOOKUP(A198, '전체 목록(n=66)'!C:F, 4, FALSE)</f>
        <v>덴마크</v>
      </c>
      <c r="E198" s="6">
        <f t="shared" si="36"/>
        <v>100</v>
      </c>
      <c r="F198" s="6" t="s">
        <v>97</v>
      </c>
      <c r="G198" s="6">
        <v>16</v>
      </c>
      <c r="H198" s="6" t="s">
        <v>98</v>
      </c>
      <c r="I198" s="6">
        <f t="shared" si="39"/>
        <v>84</v>
      </c>
      <c r="J198" s="6" t="s">
        <v>174</v>
      </c>
      <c r="K198" s="6" t="s">
        <v>224</v>
      </c>
      <c r="L198" s="19"/>
      <c r="M198" s="19"/>
      <c r="N198" s="19"/>
      <c r="O198" s="19"/>
      <c r="P198" s="19">
        <v>19</v>
      </c>
      <c r="Q198" s="19">
        <v>98</v>
      </c>
      <c r="R198" s="19">
        <v>67</v>
      </c>
      <c r="S198" s="19">
        <v>86</v>
      </c>
      <c r="T198" s="19"/>
      <c r="U198" s="19"/>
      <c r="V198" s="19"/>
      <c r="W198" s="19"/>
      <c r="X198" s="19"/>
      <c r="Y198" s="19"/>
      <c r="Z198" s="58">
        <f t="shared" si="40"/>
        <v>3.04</v>
      </c>
      <c r="AA198" s="58">
        <f t="shared" si="41"/>
        <v>1.6800000000000068</v>
      </c>
      <c r="AB198" s="58">
        <f t="shared" si="42"/>
        <v>12.96</v>
      </c>
      <c r="AC198" s="58">
        <f t="shared" si="43"/>
        <v>82.32</v>
      </c>
      <c r="AD198" s="59">
        <f t="shared" si="44"/>
        <v>0.19</v>
      </c>
      <c r="AE198" s="59">
        <f t="shared" si="45"/>
        <v>0.97999999999999987</v>
      </c>
      <c r="AF198" s="59">
        <f t="shared" si="46"/>
        <v>0.64406779661016855</v>
      </c>
      <c r="AG198" s="59">
        <f t="shared" si="47"/>
        <v>0.8639798488664987</v>
      </c>
      <c r="AH198" s="59">
        <f t="shared" si="48"/>
        <v>0.85360000000000003</v>
      </c>
      <c r="AI198" s="19"/>
    </row>
    <row r="199" spans="1:35" ht="18" customHeight="1" x14ac:dyDescent="0.3">
      <c r="A199" s="56">
        <v>3058</v>
      </c>
      <c r="B199" s="23" t="s">
        <v>580</v>
      </c>
      <c r="C199" s="14">
        <v>2000</v>
      </c>
      <c r="D199" s="18" t="str">
        <f>VLOOKUP(A199, '전체 목록(n=66)'!C:F, 4, FALSE)</f>
        <v>덴마크</v>
      </c>
      <c r="E199" s="6">
        <f t="shared" si="36"/>
        <v>100</v>
      </c>
      <c r="F199" s="6" t="s">
        <v>97</v>
      </c>
      <c r="G199" s="6">
        <v>16</v>
      </c>
      <c r="H199" s="6" t="s">
        <v>98</v>
      </c>
      <c r="I199" s="6">
        <f t="shared" si="39"/>
        <v>84</v>
      </c>
      <c r="J199" s="6" t="s">
        <v>39</v>
      </c>
      <c r="K199" s="6" t="s">
        <v>222</v>
      </c>
      <c r="L199" s="19"/>
      <c r="M199" s="19"/>
      <c r="N199" s="19"/>
      <c r="O199" s="19"/>
      <c r="P199" s="19">
        <v>48</v>
      </c>
      <c r="Q199" s="19">
        <v>97</v>
      </c>
      <c r="R199" s="19">
        <v>77</v>
      </c>
      <c r="S199" s="19">
        <v>91</v>
      </c>
      <c r="T199" s="19"/>
      <c r="U199" s="19"/>
      <c r="V199" s="19"/>
      <c r="W199" s="19"/>
      <c r="X199" s="19"/>
      <c r="Y199" s="19"/>
      <c r="Z199" s="58">
        <f t="shared" si="40"/>
        <v>7.68</v>
      </c>
      <c r="AA199" s="58">
        <f t="shared" si="41"/>
        <v>2.519999999999996</v>
      </c>
      <c r="AB199" s="58">
        <f t="shared" si="42"/>
        <v>8.32</v>
      </c>
      <c r="AC199" s="58">
        <f t="shared" si="43"/>
        <v>81.48</v>
      </c>
      <c r="AD199" s="59">
        <f t="shared" si="44"/>
        <v>0.48</v>
      </c>
      <c r="AE199" s="59">
        <f t="shared" si="45"/>
        <v>0.97000000000000008</v>
      </c>
      <c r="AF199" s="59">
        <f t="shared" si="46"/>
        <v>0.75294117647058856</v>
      </c>
      <c r="AG199" s="59">
        <f t="shared" si="47"/>
        <v>0.90734966592427613</v>
      </c>
      <c r="AH199" s="59">
        <f t="shared" si="48"/>
        <v>0.89159999999999995</v>
      </c>
      <c r="AI199" s="19"/>
    </row>
    <row r="200" spans="1:35" ht="18" customHeight="1" x14ac:dyDescent="0.3">
      <c r="A200" s="56">
        <v>3058</v>
      </c>
      <c r="B200" s="23" t="s">
        <v>580</v>
      </c>
      <c r="C200" s="14">
        <v>2000</v>
      </c>
      <c r="D200" s="18" t="str">
        <f>VLOOKUP(A200, '전체 목록(n=66)'!C:F, 4, FALSE)</f>
        <v>덴마크</v>
      </c>
      <c r="E200" s="6">
        <f t="shared" si="36"/>
        <v>100</v>
      </c>
      <c r="F200" s="6" t="s">
        <v>97</v>
      </c>
      <c r="G200" s="6">
        <v>16</v>
      </c>
      <c r="H200" s="6" t="s">
        <v>98</v>
      </c>
      <c r="I200" s="6">
        <f t="shared" si="39"/>
        <v>84</v>
      </c>
      <c r="J200" s="6" t="s">
        <v>174</v>
      </c>
      <c r="K200" s="6" t="s">
        <v>225</v>
      </c>
      <c r="L200" s="19"/>
      <c r="M200" s="19"/>
      <c r="N200" s="19"/>
      <c r="O200" s="19"/>
      <c r="P200" s="19">
        <v>19</v>
      </c>
      <c r="Q200" s="19">
        <v>99</v>
      </c>
      <c r="R200" s="19">
        <v>80</v>
      </c>
      <c r="S200" s="19">
        <v>86</v>
      </c>
      <c r="T200" s="19"/>
      <c r="U200" s="19"/>
      <c r="V200" s="19"/>
      <c r="W200" s="19"/>
      <c r="X200" s="19"/>
      <c r="Y200" s="19"/>
      <c r="Z200" s="58">
        <f t="shared" si="40"/>
        <v>3.04</v>
      </c>
      <c r="AA200" s="58">
        <f t="shared" si="41"/>
        <v>0.84000000000000341</v>
      </c>
      <c r="AB200" s="58">
        <f t="shared" si="42"/>
        <v>12.96</v>
      </c>
      <c r="AC200" s="58">
        <f t="shared" si="43"/>
        <v>83.16</v>
      </c>
      <c r="AD200" s="59">
        <f t="shared" si="44"/>
        <v>0.19</v>
      </c>
      <c r="AE200" s="59">
        <f t="shared" si="45"/>
        <v>0.99</v>
      </c>
      <c r="AF200" s="59">
        <f t="shared" si="46"/>
        <v>0.78350515463917458</v>
      </c>
      <c r="AG200" s="59">
        <f t="shared" si="47"/>
        <v>0.86516853932584259</v>
      </c>
      <c r="AH200" s="59">
        <f t="shared" si="48"/>
        <v>0.86199999999999999</v>
      </c>
      <c r="AI200" s="19"/>
    </row>
    <row r="201" spans="1:35" ht="18" customHeight="1" x14ac:dyDescent="0.3">
      <c r="A201" s="56">
        <v>3058</v>
      </c>
      <c r="B201" s="23" t="s">
        <v>580</v>
      </c>
      <c r="C201" s="14">
        <v>2000</v>
      </c>
      <c r="D201" s="18" t="str">
        <f>VLOOKUP(A201, '전체 목록(n=66)'!C:F, 4, FALSE)</f>
        <v>덴마크</v>
      </c>
      <c r="E201" s="6">
        <f t="shared" si="36"/>
        <v>100</v>
      </c>
      <c r="F201" s="6" t="s">
        <v>97</v>
      </c>
      <c r="G201" s="6">
        <v>16</v>
      </c>
      <c r="H201" s="6" t="s">
        <v>98</v>
      </c>
      <c r="I201" s="6">
        <f t="shared" si="39"/>
        <v>84</v>
      </c>
      <c r="J201" s="6" t="s">
        <v>39</v>
      </c>
      <c r="K201" s="6" t="s">
        <v>226</v>
      </c>
      <c r="L201" s="19"/>
      <c r="M201" s="19"/>
      <c r="N201" s="19"/>
      <c r="O201" s="19"/>
      <c r="P201" s="19">
        <v>86</v>
      </c>
      <c r="Q201" s="19">
        <v>89</v>
      </c>
      <c r="R201" s="19">
        <v>47</v>
      </c>
      <c r="S201" s="19">
        <v>97</v>
      </c>
      <c r="T201" s="19"/>
      <c r="U201" s="19"/>
      <c r="V201" s="19"/>
      <c r="W201" s="19"/>
      <c r="X201" s="19"/>
      <c r="Y201" s="19"/>
      <c r="Z201" s="58">
        <f t="shared" si="40"/>
        <v>13.76</v>
      </c>
      <c r="AA201" s="58">
        <f t="shared" si="41"/>
        <v>9.2399999999999949</v>
      </c>
      <c r="AB201" s="58">
        <f t="shared" si="42"/>
        <v>2.2400000000000002</v>
      </c>
      <c r="AC201" s="58">
        <f t="shared" si="43"/>
        <v>74.760000000000005</v>
      </c>
      <c r="AD201" s="59">
        <f t="shared" si="44"/>
        <v>0.86</v>
      </c>
      <c r="AE201" s="59">
        <f t="shared" si="45"/>
        <v>0.89</v>
      </c>
      <c r="AF201" s="59">
        <f t="shared" si="46"/>
        <v>0.59826086956521751</v>
      </c>
      <c r="AG201" s="59">
        <f t="shared" si="47"/>
        <v>0.97090909090909094</v>
      </c>
      <c r="AH201" s="59">
        <f t="shared" si="48"/>
        <v>0.8852000000000001</v>
      </c>
      <c r="AI201" s="19"/>
    </row>
    <row r="202" spans="1:35" ht="18" customHeight="1" x14ac:dyDescent="0.3">
      <c r="A202" s="56">
        <v>3058</v>
      </c>
      <c r="B202" s="23" t="s">
        <v>580</v>
      </c>
      <c r="C202" s="14">
        <v>2000</v>
      </c>
      <c r="D202" s="18" t="str">
        <f>VLOOKUP(A202, '전체 목록(n=66)'!C:F, 4, FALSE)</f>
        <v>덴마크</v>
      </c>
      <c r="E202" s="6">
        <f t="shared" si="36"/>
        <v>100</v>
      </c>
      <c r="F202" s="6" t="s">
        <v>97</v>
      </c>
      <c r="G202" s="6">
        <v>16</v>
      </c>
      <c r="H202" s="6" t="s">
        <v>98</v>
      </c>
      <c r="I202" s="6">
        <f t="shared" si="39"/>
        <v>84</v>
      </c>
      <c r="J202" s="6" t="s">
        <v>174</v>
      </c>
      <c r="K202" s="6" t="s">
        <v>227</v>
      </c>
      <c r="L202" s="19"/>
      <c r="M202" s="19"/>
      <c r="N202" s="19"/>
      <c r="O202" s="19"/>
      <c r="P202" s="19">
        <v>52</v>
      </c>
      <c r="Q202" s="19">
        <v>95</v>
      </c>
      <c r="R202" s="19">
        <v>69</v>
      </c>
      <c r="S202" s="19">
        <v>91</v>
      </c>
      <c r="T202" s="19"/>
      <c r="U202" s="19"/>
      <c r="V202" s="19"/>
      <c r="W202" s="19"/>
      <c r="X202" s="19"/>
      <c r="Y202" s="19"/>
      <c r="Z202" s="58">
        <f t="shared" si="40"/>
        <v>8.32</v>
      </c>
      <c r="AA202" s="58">
        <f t="shared" si="41"/>
        <v>4.2000000000000028</v>
      </c>
      <c r="AB202" s="58">
        <f t="shared" si="42"/>
        <v>7.68</v>
      </c>
      <c r="AC202" s="58">
        <f t="shared" si="43"/>
        <v>79.8</v>
      </c>
      <c r="AD202" s="59">
        <f t="shared" si="44"/>
        <v>0.52</v>
      </c>
      <c r="AE202" s="59">
        <f t="shared" si="45"/>
        <v>0.95</v>
      </c>
      <c r="AF202" s="59">
        <f t="shared" si="46"/>
        <v>0.66453674121405737</v>
      </c>
      <c r="AG202" s="59">
        <f t="shared" si="47"/>
        <v>0.9122085048010975</v>
      </c>
      <c r="AH202" s="59">
        <f t="shared" si="48"/>
        <v>0.88120000000000009</v>
      </c>
      <c r="AI202" s="19"/>
    </row>
    <row r="203" spans="1:35" ht="18" customHeight="1" x14ac:dyDescent="0.3">
      <c r="A203" s="56">
        <v>3058</v>
      </c>
      <c r="B203" s="23" t="s">
        <v>580</v>
      </c>
      <c r="C203" s="14">
        <v>2000</v>
      </c>
      <c r="D203" s="18" t="str">
        <f>VLOOKUP(A203, '전체 목록(n=66)'!C:F, 4, FALSE)</f>
        <v>덴마크</v>
      </c>
      <c r="E203" s="6">
        <f t="shared" si="36"/>
        <v>100</v>
      </c>
      <c r="F203" s="6" t="s">
        <v>97</v>
      </c>
      <c r="G203" s="6">
        <v>16</v>
      </c>
      <c r="H203" s="6" t="s">
        <v>98</v>
      </c>
      <c r="I203" s="6">
        <f t="shared" si="39"/>
        <v>84</v>
      </c>
      <c r="J203" s="6" t="s">
        <v>39</v>
      </c>
      <c r="K203" s="6" t="s">
        <v>228</v>
      </c>
      <c r="L203" s="19"/>
      <c r="M203" s="19"/>
      <c r="N203" s="19"/>
      <c r="O203" s="19"/>
      <c r="P203" s="19">
        <v>81</v>
      </c>
      <c r="Q203" s="19">
        <v>93</v>
      </c>
      <c r="R203" s="19">
        <v>68</v>
      </c>
      <c r="S203" s="19">
        <v>96</v>
      </c>
      <c r="T203" s="19"/>
      <c r="U203" s="19"/>
      <c r="V203" s="19"/>
      <c r="W203" s="19"/>
      <c r="X203" s="19"/>
      <c r="Y203" s="19"/>
      <c r="Z203" s="58">
        <f t="shared" si="40"/>
        <v>12.96</v>
      </c>
      <c r="AA203" s="58">
        <f t="shared" si="41"/>
        <v>5.8799999999999955</v>
      </c>
      <c r="AB203" s="58">
        <f t="shared" si="42"/>
        <v>3.0399999999999991</v>
      </c>
      <c r="AC203" s="58">
        <f t="shared" si="43"/>
        <v>78.12</v>
      </c>
      <c r="AD203" s="59">
        <f t="shared" si="44"/>
        <v>0.81</v>
      </c>
      <c r="AE203" s="59">
        <f t="shared" si="45"/>
        <v>0.93</v>
      </c>
      <c r="AF203" s="59">
        <f t="shared" si="46"/>
        <v>0.6878980891719747</v>
      </c>
      <c r="AG203" s="59">
        <f t="shared" si="47"/>
        <v>0.96254312469196657</v>
      </c>
      <c r="AH203" s="59">
        <f t="shared" si="48"/>
        <v>0.91080000000000017</v>
      </c>
      <c r="AI203" s="19"/>
    </row>
    <row r="204" spans="1:35" ht="18" customHeight="1" x14ac:dyDescent="0.3">
      <c r="A204" s="56">
        <v>3058</v>
      </c>
      <c r="B204" s="23" t="s">
        <v>580</v>
      </c>
      <c r="C204" s="14">
        <v>2000</v>
      </c>
      <c r="D204" s="18" t="str">
        <f>VLOOKUP(A204, '전체 목록(n=66)'!C:F, 4, FALSE)</f>
        <v>덴마크</v>
      </c>
      <c r="E204" s="6">
        <f t="shared" si="36"/>
        <v>100</v>
      </c>
      <c r="F204" s="6" t="s">
        <v>97</v>
      </c>
      <c r="G204" s="6">
        <v>16</v>
      </c>
      <c r="H204" s="6" t="s">
        <v>98</v>
      </c>
      <c r="I204" s="6">
        <f t="shared" si="39"/>
        <v>84</v>
      </c>
      <c r="J204" s="6" t="s">
        <v>174</v>
      </c>
      <c r="K204" s="6" t="s">
        <v>229</v>
      </c>
      <c r="L204" s="19"/>
      <c r="M204" s="19"/>
      <c r="N204" s="19"/>
      <c r="O204" s="19"/>
      <c r="P204" s="19">
        <v>38</v>
      </c>
      <c r="Q204" s="19">
        <v>98</v>
      </c>
      <c r="R204" s="19">
        <v>80</v>
      </c>
      <c r="S204" s="19">
        <v>89</v>
      </c>
      <c r="T204" s="19"/>
      <c r="U204" s="19"/>
      <c r="V204" s="19"/>
      <c r="W204" s="19"/>
      <c r="X204" s="19"/>
      <c r="Y204" s="19"/>
      <c r="Z204" s="58">
        <f t="shared" si="40"/>
        <v>6.08</v>
      </c>
      <c r="AA204" s="58">
        <f t="shared" si="41"/>
        <v>1.6800000000000068</v>
      </c>
      <c r="AB204" s="58">
        <f t="shared" si="42"/>
        <v>9.92</v>
      </c>
      <c r="AC204" s="58">
        <f t="shared" si="43"/>
        <v>82.32</v>
      </c>
      <c r="AD204" s="59">
        <f t="shared" si="44"/>
        <v>0.38</v>
      </c>
      <c r="AE204" s="59">
        <f t="shared" si="45"/>
        <v>0.97999999999999987</v>
      </c>
      <c r="AF204" s="59">
        <f t="shared" si="46"/>
        <v>0.78350515463917458</v>
      </c>
      <c r="AG204" s="59">
        <f t="shared" si="47"/>
        <v>0.89245446660884642</v>
      </c>
      <c r="AH204" s="59">
        <f t="shared" si="48"/>
        <v>0.8839999999999999</v>
      </c>
      <c r="AI204" s="19"/>
    </row>
    <row r="205" spans="1:35" ht="18" customHeight="1" x14ac:dyDescent="0.3">
      <c r="A205" s="56">
        <v>3058</v>
      </c>
      <c r="B205" s="23" t="s">
        <v>580</v>
      </c>
      <c r="C205" s="14">
        <v>2000</v>
      </c>
      <c r="D205" s="18" t="str">
        <f>VLOOKUP(A205, '전체 목록(n=66)'!C:F, 4, FALSE)</f>
        <v>덴마크</v>
      </c>
      <c r="E205" s="6">
        <f t="shared" si="36"/>
        <v>100</v>
      </c>
      <c r="F205" s="6" t="s">
        <v>97</v>
      </c>
      <c r="G205" s="6">
        <v>16</v>
      </c>
      <c r="H205" s="6" t="s">
        <v>98</v>
      </c>
      <c r="I205" s="6">
        <f t="shared" si="39"/>
        <v>84</v>
      </c>
      <c r="J205" s="6" t="s">
        <v>39</v>
      </c>
      <c r="K205" s="6" t="s">
        <v>230</v>
      </c>
      <c r="L205" s="19"/>
      <c r="M205" s="19"/>
      <c r="N205" s="19"/>
      <c r="O205" s="19"/>
      <c r="P205" s="19">
        <v>67</v>
      </c>
      <c r="Q205" s="19">
        <v>96</v>
      </c>
      <c r="R205" s="19">
        <v>78</v>
      </c>
      <c r="S205" s="19">
        <v>94</v>
      </c>
      <c r="T205" s="19"/>
      <c r="U205" s="19"/>
      <c r="V205" s="19"/>
      <c r="W205" s="19"/>
      <c r="X205" s="19"/>
      <c r="Y205" s="19"/>
      <c r="Z205" s="58">
        <f t="shared" si="40"/>
        <v>10.72</v>
      </c>
      <c r="AA205" s="58">
        <f t="shared" si="41"/>
        <v>3.3599999999999994</v>
      </c>
      <c r="AB205" s="58">
        <f t="shared" si="42"/>
        <v>5.2799999999999994</v>
      </c>
      <c r="AC205" s="58">
        <f t="shared" si="43"/>
        <v>80.64</v>
      </c>
      <c r="AD205" s="59">
        <f t="shared" si="44"/>
        <v>0.67</v>
      </c>
      <c r="AE205" s="59">
        <f t="shared" si="45"/>
        <v>0.96</v>
      </c>
      <c r="AF205" s="59">
        <f t="shared" si="46"/>
        <v>0.76136363636363635</v>
      </c>
      <c r="AG205" s="59">
        <f t="shared" si="47"/>
        <v>0.93854748603351956</v>
      </c>
      <c r="AH205" s="59">
        <f t="shared" si="48"/>
        <v>0.91359999999999997</v>
      </c>
      <c r="AI205" s="19"/>
    </row>
    <row r="206" spans="1:35" ht="18" customHeight="1" x14ac:dyDescent="0.3">
      <c r="A206" s="56">
        <v>3058</v>
      </c>
      <c r="B206" s="23" t="s">
        <v>580</v>
      </c>
      <c r="C206" s="14">
        <v>2000</v>
      </c>
      <c r="D206" s="18" t="str">
        <f>VLOOKUP(A206, '전체 목록(n=66)'!C:F, 4, FALSE)</f>
        <v>덴마크</v>
      </c>
      <c r="E206" s="6">
        <f t="shared" si="36"/>
        <v>100</v>
      </c>
      <c r="F206" s="6" t="s">
        <v>97</v>
      </c>
      <c r="G206" s="6">
        <v>16</v>
      </c>
      <c r="H206" s="6" t="s">
        <v>98</v>
      </c>
      <c r="I206" s="6">
        <f t="shared" si="39"/>
        <v>84</v>
      </c>
      <c r="J206" s="6" t="s">
        <v>174</v>
      </c>
      <c r="K206" s="6" t="s">
        <v>231</v>
      </c>
      <c r="L206" s="19"/>
      <c r="M206" s="19"/>
      <c r="N206" s="19"/>
      <c r="O206" s="19"/>
      <c r="P206" s="19">
        <v>33</v>
      </c>
      <c r="Q206" s="19">
        <v>99</v>
      </c>
      <c r="R206" s="19">
        <v>88</v>
      </c>
      <c r="S206" s="19">
        <v>89</v>
      </c>
      <c r="T206" s="19"/>
      <c r="U206" s="19"/>
      <c r="V206" s="19"/>
      <c r="W206" s="19"/>
      <c r="X206" s="19"/>
      <c r="Y206" s="19"/>
      <c r="Z206" s="58">
        <f t="shared" si="40"/>
        <v>5.28</v>
      </c>
      <c r="AA206" s="58">
        <f t="shared" si="41"/>
        <v>0.84000000000000341</v>
      </c>
      <c r="AB206" s="58">
        <f t="shared" si="42"/>
        <v>10.719999999999999</v>
      </c>
      <c r="AC206" s="58">
        <f t="shared" si="43"/>
        <v>83.16</v>
      </c>
      <c r="AD206" s="59">
        <f t="shared" si="44"/>
        <v>0.33</v>
      </c>
      <c r="AE206" s="59">
        <f t="shared" si="45"/>
        <v>0.99</v>
      </c>
      <c r="AF206" s="59">
        <f t="shared" si="46"/>
        <v>0.86274509803921517</v>
      </c>
      <c r="AG206" s="59">
        <f t="shared" si="47"/>
        <v>0.88581167447805709</v>
      </c>
      <c r="AH206" s="59">
        <f t="shared" si="48"/>
        <v>0.88439999999999996</v>
      </c>
      <c r="AI206" s="19"/>
    </row>
    <row r="207" spans="1:35" ht="18" customHeight="1" x14ac:dyDescent="0.3">
      <c r="A207" s="56">
        <v>3079</v>
      </c>
      <c r="B207" s="23" t="s">
        <v>581</v>
      </c>
      <c r="C207" s="14">
        <v>2000</v>
      </c>
      <c r="D207" s="18" t="str">
        <f>VLOOKUP(A207, '전체 목록(n=66)'!C:F, 4, FALSE)</f>
        <v>독일</v>
      </c>
      <c r="E207" s="6">
        <v>253</v>
      </c>
      <c r="F207" s="6" t="s">
        <v>97</v>
      </c>
      <c r="G207" s="6">
        <v>66</v>
      </c>
      <c r="H207" s="6" t="s">
        <v>98</v>
      </c>
      <c r="I207" s="6">
        <f>253-66</f>
        <v>187</v>
      </c>
      <c r="J207" s="6" t="s">
        <v>39</v>
      </c>
      <c r="K207" s="6" t="s">
        <v>167</v>
      </c>
      <c r="L207" s="19"/>
      <c r="M207" s="19"/>
      <c r="N207" s="19"/>
      <c r="O207" s="19"/>
      <c r="P207" s="19">
        <v>62</v>
      </c>
      <c r="Q207" s="19">
        <v>81</v>
      </c>
      <c r="R207" s="19">
        <v>53</v>
      </c>
      <c r="S207" s="19">
        <v>86</v>
      </c>
      <c r="T207" s="19"/>
      <c r="U207" s="19"/>
      <c r="V207" s="19"/>
      <c r="W207" s="19"/>
      <c r="X207" s="19"/>
      <c r="Y207" s="19"/>
      <c r="Z207" s="58">
        <f t="shared" si="40"/>
        <v>40.92</v>
      </c>
      <c r="AA207" s="58">
        <f t="shared" si="41"/>
        <v>35.53</v>
      </c>
      <c r="AB207" s="58">
        <f t="shared" si="42"/>
        <v>25.08</v>
      </c>
      <c r="AC207" s="58">
        <f t="shared" si="43"/>
        <v>151.47</v>
      </c>
      <c r="AD207" s="59">
        <f t="shared" si="44"/>
        <v>0.62</v>
      </c>
      <c r="AE207" s="59">
        <f t="shared" si="45"/>
        <v>0.80999999999999994</v>
      </c>
      <c r="AF207" s="59">
        <f t="shared" si="46"/>
        <v>0.53525179856115113</v>
      </c>
      <c r="AG207" s="59">
        <f t="shared" si="47"/>
        <v>0.85794392523364482</v>
      </c>
      <c r="AH207" s="59">
        <f t="shared" si="48"/>
        <v>0.76043478260869557</v>
      </c>
      <c r="AI207" s="19"/>
    </row>
    <row r="208" spans="1:35" ht="18" customHeight="1" x14ac:dyDescent="0.3">
      <c r="A208" s="56">
        <v>3079</v>
      </c>
      <c r="B208" s="23" t="s">
        <v>581</v>
      </c>
      <c r="C208" s="14">
        <v>2000</v>
      </c>
      <c r="D208" s="18" t="str">
        <f>VLOOKUP(A208, '전체 목록(n=66)'!C:F, 4, FALSE)</f>
        <v>독일</v>
      </c>
      <c r="E208" s="6">
        <v>253</v>
      </c>
      <c r="F208" s="6" t="s">
        <v>97</v>
      </c>
      <c r="G208" s="6">
        <v>66</v>
      </c>
      <c r="H208" s="6" t="s">
        <v>98</v>
      </c>
      <c r="I208" s="6">
        <f>253-66</f>
        <v>187</v>
      </c>
      <c r="J208" s="6" t="s">
        <v>121</v>
      </c>
      <c r="K208" s="6" t="s">
        <v>167</v>
      </c>
      <c r="L208" s="19"/>
      <c r="M208" s="19"/>
      <c r="N208" s="19"/>
      <c r="O208" s="19"/>
      <c r="P208" s="19">
        <v>46</v>
      </c>
      <c r="Q208" s="19">
        <v>89</v>
      </c>
      <c r="R208" s="19">
        <v>60</v>
      </c>
      <c r="S208" s="19">
        <v>82</v>
      </c>
      <c r="T208" s="19"/>
      <c r="U208" s="19"/>
      <c r="V208" s="19"/>
      <c r="W208" s="19"/>
      <c r="X208" s="19"/>
      <c r="Y208" s="19"/>
      <c r="Z208" s="58">
        <f t="shared" si="40"/>
        <v>30.36</v>
      </c>
      <c r="AA208" s="58">
        <f t="shared" si="41"/>
        <v>20.569999999999993</v>
      </c>
      <c r="AB208" s="58">
        <f t="shared" si="42"/>
        <v>35.64</v>
      </c>
      <c r="AC208" s="58">
        <f t="shared" si="43"/>
        <v>166.43</v>
      </c>
      <c r="AD208" s="59">
        <f t="shared" si="44"/>
        <v>0.45999999999999996</v>
      </c>
      <c r="AE208" s="59">
        <f t="shared" si="45"/>
        <v>0.89</v>
      </c>
      <c r="AF208" s="59">
        <f t="shared" si="46"/>
        <v>0.59611231101511886</v>
      </c>
      <c r="AG208" s="59">
        <f t="shared" si="47"/>
        <v>0.8236254763200872</v>
      </c>
      <c r="AH208" s="59">
        <f t="shared" si="48"/>
        <v>0.77782608695652178</v>
      </c>
      <c r="AI208" s="19"/>
    </row>
    <row r="209" spans="1:35" ht="18" customHeight="1" x14ac:dyDescent="0.3">
      <c r="A209" s="56">
        <v>3079</v>
      </c>
      <c r="B209" s="23" t="s">
        <v>581</v>
      </c>
      <c r="C209" s="14">
        <v>2000</v>
      </c>
      <c r="D209" s="18" t="str">
        <f>VLOOKUP(A209, '전체 목록(n=66)'!C:F, 4, FALSE)</f>
        <v>독일</v>
      </c>
      <c r="E209" s="6">
        <v>253</v>
      </c>
      <c r="F209" s="6" t="s">
        <v>97</v>
      </c>
      <c r="G209" s="6">
        <v>66</v>
      </c>
      <c r="H209" s="6" t="s">
        <v>98</v>
      </c>
      <c r="I209" s="6">
        <f>253-66</f>
        <v>187</v>
      </c>
      <c r="J209" s="6" t="s">
        <v>39</v>
      </c>
      <c r="K209" s="6" t="s">
        <v>199</v>
      </c>
      <c r="L209" s="19"/>
      <c r="M209" s="19"/>
      <c r="N209" s="19"/>
      <c r="O209" s="19"/>
      <c r="P209" s="19">
        <v>85</v>
      </c>
      <c r="Q209" s="19">
        <v>71</v>
      </c>
      <c r="R209" s="19">
        <v>51</v>
      </c>
      <c r="S209" s="19">
        <v>93</v>
      </c>
      <c r="T209" s="19"/>
      <c r="U209" s="19"/>
      <c r="V209" s="19"/>
      <c r="W209" s="19"/>
      <c r="X209" s="19"/>
      <c r="Y209" s="19"/>
      <c r="Z209" s="58">
        <f t="shared" si="40"/>
        <v>56.1</v>
      </c>
      <c r="AA209" s="58">
        <f t="shared" si="41"/>
        <v>54.22999999999999</v>
      </c>
      <c r="AB209" s="58">
        <f t="shared" si="42"/>
        <v>9.8999999999999986</v>
      </c>
      <c r="AC209" s="58">
        <f t="shared" si="43"/>
        <v>132.77000000000001</v>
      </c>
      <c r="AD209" s="59">
        <f t="shared" si="44"/>
        <v>0.85</v>
      </c>
      <c r="AE209" s="59">
        <f t="shared" si="45"/>
        <v>0.71000000000000008</v>
      </c>
      <c r="AF209" s="59">
        <f t="shared" si="46"/>
        <v>0.50847457627118653</v>
      </c>
      <c r="AG209" s="59">
        <f t="shared" si="47"/>
        <v>0.93060909791827295</v>
      </c>
      <c r="AH209" s="59">
        <f t="shared" si="48"/>
        <v>0.74652173913043485</v>
      </c>
      <c r="AI209" s="19"/>
    </row>
    <row r="210" spans="1:35" ht="18" customHeight="1" x14ac:dyDescent="0.3">
      <c r="A210" s="56">
        <v>3079</v>
      </c>
      <c r="B210" s="23" t="s">
        <v>581</v>
      </c>
      <c r="C210" s="14">
        <v>2000</v>
      </c>
      <c r="D210" s="18" t="str">
        <f>VLOOKUP(A210, '전체 목록(n=66)'!C:F, 4, FALSE)</f>
        <v>독일</v>
      </c>
      <c r="E210" s="6">
        <v>253</v>
      </c>
      <c r="F210" s="6" t="s">
        <v>97</v>
      </c>
      <c r="G210" s="6">
        <v>66</v>
      </c>
      <c r="H210" s="6" t="s">
        <v>98</v>
      </c>
      <c r="I210" s="6">
        <f>253-66</f>
        <v>187</v>
      </c>
      <c r="J210" s="6" t="s">
        <v>121</v>
      </c>
      <c r="K210" s="6" t="s">
        <v>199</v>
      </c>
      <c r="L210" s="19"/>
      <c r="M210" s="19"/>
      <c r="N210" s="19"/>
      <c r="O210" s="19"/>
      <c r="P210" s="19">
        <v>73</v>
      </c>
      <c r="Q210" s="19">
        <v>81</v>
      </c>
      <c r="R210" s="19">
        <v>57</v>
      </c>
      <c r="S210" s="19">
        <v>89</v>
      </c>
      <c r="T210" s="19"/>
      <c r="U210" s="19"/>
      <c r="V210" s="19"/>
      <c r="W210" s="19"/>
      <c r="X210" s="19"/>
      <c r="Y210" s="19"/>
      <c r="Z210" s="58">
        <f t="shared" si="40"/>
        <v>48.18</v>
      </c>
      <c r="AA210" s="58">
        <f t="shared" si="41"/>
        <v>35.53</v>
      </c>
      <c r="AB210" s="58">
        <f t="shared" si="42"/>
        <v>17.82</v>
      </c>
      <c r="AC210" s="58">
        <f t="shared" si="43"/>
        <v>151.47</v>
      </c>
      <c r="AD210" s="59">
        <f t="shared" si="44"/>
        <v>0.73</v>
      </c>
      <c r="AE210" s="59">
        <f t="shared" si="45"/>
        <v>0.80999999999999994</v>
      </c>
      <c r="AF210" s="59">
        <f t="shared" si="46"/>
        <v>0.57555847568988172</v>
      </c>
      <c r="AG210" s="59">
        <f t="shared" si="47"/>
        <v>0.89473684210526316</v>
      </c>
      <c r="AH210" s="59">
        <f t="shared" si="48"/>
        <v>0.78913043478260869</v>
      </c>
      <c r="AI210" s="19"/>
    </row>
    <row r="211" spans="1:35" ht="18" customHeight="1" x14ac:dyDescent="0.3">
      <c r="A211" s="56">
        <v>3142</v>
      </c>
      <c r="B211" s="23" t="s">
        <v>582</v>
      </c>
      <c r="C211" s="14">
        <v>0</v>
      </c>
      <c r="D211" s="18" t="str">
        <f>VLOOKUP(A211, '전체 목록(n=66)'!C:F, 4, FALSE)</f>
        <v>미국</v>
      </c>
      <c r="E211" s="6">
        <f>G211+I211</f>
        <v>396</v>
      </c>
      <c r="F211" s="6" t="s">
        <v>106</v>
      </c>
      <c r="G211" s="6">
        <v>38</v>
      </c>
      <c r="H211" s="6" t="s">
        <v>107</v>
      </c>
      <c r="I211" s="6">
        <v>358</v>
      </c>
      <c r="J211" s="6" t="s">
        <v>39</v>
      </c>
      <c r="K211" s="6" t="s">
        <v>517</v>
      </c>
      <c r="L211" s="19"/>
      <c r="M211" s="19"/>
      <c r="N211" s="19"/>
      <c r="O211" s="19"/>
      <c r="P211" s="19">
        <v>28.9</v>
      </c>
      <c r="Q211" s="19">
        <v>91.3</v>
      </c>
      <c r="R211" s="19"/>
      <c r="S211" s="19"/>
      <c r="T211" s="19"/>
      <c r="U211" s="19"/>
      <c r="V211" s="19"/>
      <c r="W211" s="19"/>
      <c r="X211" s="19"/>
      <c r="Y211" s="19"/>
      <c r="Z211" s="58">
        <f t="shared" si="40"/>
        <v>10.982000000000001</v>
      </c>
      <c r="AA211" s="58">
        <f t="shared" si="41"/>
        <v>31.146000000000015</v>
      </c>
      <c r="AB211" s="58">
        <f t="shared" si="42"/>
        <v>27.018000000000001</v>
      </c>
      <c r="AC211" s="58">
        <f t="shared" si="43"/>
        <v>326.85399999999998</v>
      </c>
      <c r="AD211" s="59">
        <f t="shared" si="44"/>
        <v>0.28900000000000003</v>
      </c>
      <c r="AE211" s="59">
        <f t="shared" si="45"/>
        <v>0.91299999999999992</v>
      </c>
      <c r="AF211" s="59">
        <f t="shared" si="46"/>
        <v>0.26068173186479293</v>
      </c>
      <c r="AG211" s="59">
        <f t="shared" si="47"/>
        <v>0.92365035945200535</v>
      </c>
      <c r="AH211" s="59">
        <f t="shared" si="48"/>
        <v>0.85312121212121217</v>
      </c>
      <c r="AI211" s="19"/>
    </row>
    <row r="212" spans="1:35" ht="18" customHeight="1" x14ac:dyDescent="0.3">
      <c r="A212" s="56">
        <v>3142</v>
      </c>
      <c r="B212" s="23" t="s">
        <v>582</v>
      </c>
      <c r="C212" s="14">
        <v>0</v>
      </c>
      <c r="D212" s="18" t="str">
        <f>VLOOKUP(A212, '전체 목록(n=66)'!C:F, 4, FALSE)</f>
        <v>미국</v>
      </c>
      <c r="E212" s="6">
        <f>G212+I212</f>
        <v>396</v>
      </c>
      <c r="F212" s="6" t="s">
        <v>106</v>
      </c>
      <c r="G212" s="6">
        <v>38</v>
      </c>
      <c r="H212" s="6" t="s">
        <v>107</v>
      </c>
      <c r="I212" s="6">
        <v>358</v>
      </c>
      <c r="J212" s="6" t="s">
        <v>95</v>
      </c>
      <c r="K212" s="6" t="s">
        <v>517</v>
      </c>
      <c r="L212" s="19"/>
      <c r="M212" s="19"/>
      <c r="N212" s="19"/>
      <c r="O212" s="19"/>
      <c r="P212" s="19">
        <v>23.7</v>
      </c>
      <c r="Q212" s="19">
        <v>94.7</v>
      </c>
      <c r="R212" s="19"/>
      <c r="S212" s="19"/>
      <c r="T212" s="19"/>
      <c r="U212" s="19"/>
      <c r="V212" s="19"/>
      <c r="W212" s="19"/>
      <c r="X212" s="19"/>
      <c r="Y212" s="19"/>
      <c r="Z212" s="58">
        <f t="shared" si="40"/>
        <v>9.0060000000000002</v>
      </c>
      <c r="AA212" s="58">
        <f t="shared" si="41"/>
        <v>18.97399999999999</v>
      </c>
      <c r="AB212" s="58">
        <f t="shared" si="42"/>
        <v>28.994</v>
      </c>
      <c r="AC212" s="58">
        <f t="shared" si="43"/>
        <v>339.02600000000001</v>
      </c>
      <c r="AD212" s="59">
        <f t="shared" si="44"/>
        <v>0.23700000000000002</v>
      </c>
      <c r="AE212" s="59">
        <f t="shared" si="45"/>
        <v>0.94700000000000006</v>
      </c>
      <c r="AF212" s="59">
        <f t="shared" si="46"/>
        <v>0.32187276626161554</v>
      </c>
      <c r="AG212" s="59">
        <f t="shared" si="47"/>
        <v>0.92121623824792143</v>
      </c>
      <c r="AH212" s="59">
        <f t="shared" si="48"/>
        <v>0.87886868686868702</v>
      </c>
      <c r="AI212" s="19"/>
    </row>
    <row r="213" spans="1:35" ht="18" customHeight="1" x14ac:dyDescent="0.3">
      <c r="A213" s="56">
        <v>3153</v>
      </c>
      <c r="B213" s="23" t="s">
        <v>583</v>
      </c>
      <c r="C213" s="14">
        <v>0</v>
      </c>
      <c r="D213" s="18" t="str">
        <f>VLOOKUP(A213, '전체 목록(n=66)'!C:F, 4, FALSE)</f>
        <v>스웨덴</v>
      </c>
      <c r="E213" s="6">
        <v>56</v>
      </c>
      <c r="F213" s="6" t="s">
        <v>97</v>
      </c>
      <c r="G213" s="6">
        <v>27</v>
      </c>
      <c r="H213" s="6" t="s">
        <v>98</v>
      </c>
      <c r="I213" s="6">
        <f>23+6</f>
        <v>29</v>
      </c>
      <c r="J213" s="6" t="s">
        <v>39</v>
      </c>
      <c r="K213" s="6" t="s">
        <v>518</v>
      </c>
      <c r="L213" s="19"/>
      <c r="M213" s="19"/>
      <c r="N213" s="19"/>
      <c r="O213" s="19"/>
      <c r="P213" s="19">
        <v>89</v>
      </c>
      <c r="Q213" s="19">
        <v>79</v>
      </c>
      <c r="R213" s="19">
        <v>88</v>
      </c>
      <c r="S213" s="19">
        <v>80</v>
      </c>
      <c r="T213" s="19"/>
      <c r="U213" s="19"/>
      <c r="V213" s="19"/>
      <c r="W213" s="19"/>
      <c r="X213" s="19"/>
      <c r="Y213" s="19"/>
      <c r="Z213" s="58">
        <f t="shared" si="40"/>
        <v>24.03</v>
      </c>
      <c r="AA213" s="58">
        <f t="shared" si="41"/>
        <v>6.09</v>
      </c>
      <c r="AB213" s="58">
        <f t="shared" si="42"/>
        <v>2.9699999999999989</v>
      </c>
      <c r="AC213" s="58">
        <f t="shared" si="43"/>
        <v>22.91</v>
      </c>
      <c r="AD213" s="59">
        <f t="shared" si="44"/>
        <v>0.89</v>
      </c>
      <c r="AE213" s="59">
        <f t="shared" si="45"/>
        <v>0.79</v>
      </c>
      <c r="AF213" s="59">
        <f t="shared" si="46"/>
        <v>0.797808764940239</v>
      </c>
      <c r="AG213" s="59">
        <f t="shared" si="47"/>
        <v>0.88523956723338493</v>
      </c>
      <c r="AH213" s="59">
        <f t="shared" si="48"/>
        <v>0.83821428571428569</v>
      </c>
      <c r="AI213" s="19"/>
    </row>
    <row r="214" spans="1:35" ht="18" customHeight="1" x14ac:dyDescent="0.3">
      <c r="A214" s="56">
        <v>3153</v>
      </c>
      <c r="B214" s="23" t="s">
        <v>583</v>
      </c>
      <c r="C214" s="14">
        <v>0</v>
      </c>
      <c r="D214" s="18" t="str">
        <f>VLOOKUP(A214, '전체 목록(n=66)'!C:F, 4, FALSE)</f>
        <v>스웨덴</v>
      </c>
      <c r="E214" s="6">
        <v>56</v>
      </c>
      <c r="F214" s="6" t="s">
        <v>97</v>
      </c>
      <c r="G214" s="6">
        <v>27</v>
      </c>
      <c r="H214" s="6" t="s">
        <v>98</v>
      </c>
      <c r="I214" s="6">
        <f>23+6</f>
        <v>29</v>
      </c>
      <c r="J214" s="6" t="s">
        <v>121</v>
      </c>
      <c r="K214" s="6" t="s">
        <v>518</v>
      </c>
      <c r="L214" s="19"/>
      <c r="M214" s="19"/>
      <c r="N214" s="19"/>
      <c r="O214" s="19"/>
      <c r="P214" s="19">
        <v>59</v>
      </c>
      <c r="Q214" s="19">
        <v>76</v>
      </c>
      <c r="R214" s="19">
        <v>67</v>
      </c>
      <c r="S214" s="19">
        <v>70</v>
      </c>
      <c r="T214" s="19"/>
      <c r="U214" s="19"/>
      <c r="V214" s="19"/>
      <c r="W214" s="19"/>
      <c r="X214" s="19"/>
      <c r="Y214" s="19"/>
      <c r="Z214" s="58">
        <f t="shared" si="40"/>
        <v>15.93</v>
      </c>
      <c r="AA214" s="58">
        <f t="shared" si="41"/>
        <v>6.9600000000000009</v>
      </c>
      <c r="AB214" s="58">
        <f t="shared" si="42"/>
        <v>11.07</v>
      </c>
      <c r="AC214" s="58">
        <f t="shared" si="43"/>
        <v>22.04</v>
      </c>
      <c r="AD214" s="59">
        <f t="shared" si="44"/>
        <v>0.59</v>
      </c>
      <c r="AE214" s="59">
        <f t="shared" si="45"/>
        <v>0.76</v>
      </c>
      <c r="AF214" s="59">
        <f t="shared" si="46"/>
        <v>0.69593709043250329</v>
      </c>
      <c r="AG214" s="59">
        <f t="shared" si="47"/>
        <v>0.66565992147387498</v>
      </c>
      <c r="AH214" s="59">
        <f t="shared" si="48"/>
        <v>0.6780357142857143</v>
      </c>
      <c r="AI214" s="19"/>
    </row>
    <row r="215" spans="1:35" ht="18" customHeight="1" x14ac:dyDescent="0.3">
      <c r="A215" s="56">
        <v>3202</v>
      </c>
      <c r="B215" s="23" t="s">
        <v>586</v>
      </c>
      <c r="C215" s="14">
        <v>2000</v>
      </c>
      <c r="D215" s="18" t="str">
        <f>VLOOKUP(A215, '전체 목록(n=66)'!C:F, 4, FALSE)</f>
        <v>미국</v>
      </c>
      <c r="E215" s="6">
        <f t="shared" ref="E215:E232" si="49">G215+I215</f>
        <v>147</v>
      </c>
      <c r="F215" s="6" t="s">
        <v>97</v>
      </c>
      <c r="G215" s="6">
        <v>75</v>
      </c>
      <c r="H215" s="6" t="s">
        <v>98</v>
      </c>
      <c r="I215" s="6">
        <v>72</v>
      </c>
      <c r="J215" s="6" t="s">
        <v>39</v>
      </c>
      <c r="K215" s="6" t="s">
        <v>249</v>
      </c>
      <c r="L215" s="19"/>
      <c r="M215" s="19"/>
      <c r="N215" s="19"/>
      <c r="O215" s="19"/>
      <c r="P215" s="19">
        <f>0.37*100</f>
        <v>37</v>
      </c>
      <c r="Q215" s="19">
        <f>0.78*100</f>
        <v>78</v>
      </c>
      <c r="R215" s="19"/>
      <c r="S215" s="19"/>
      <c r="T215" s="19"/>
      <c r="U215" s="19"/>
      <c r="V215" s="19"/>
      <c r="W215" s="19"/>
      <c r="X215" s="19"/>
      <c r="Y215" s="19"/>
      <c r="Z215" s="58">
        <f t="shared" si="40"/>
        <v>27.75</v>
      </c>
      <c r="AA215" s="58">
        <f t="shared" si="41"/>
        <v>15.840000000000003</v>
      </c>
      <c r="AB215" s="58">
        <f t="shared" si="42"/>
        <v>47.25</v>
      </c>
      <c r="AC215" s="58">
        <f t="shared" si="43"/>
        <v>56.16</v>
      </c>
      <c r="AD215" s="59">
        <f t="shared" si="44"/>
        <v>0.37</v>
      </c>
      <c r="AE215" s="59">
        <f t="shared" si="45"/>
        <v>0.77999999999999992</v>
      </c>
      <c r="AF215" s="59">
        <f t="shared" si="46"/>
        <v>0.6366139022711631</v>
      </c>
      <c r="AG215" s="59">
        <f t="shared" si="47"/>
        <v>0.54308093994778062</v>
      </c>
      <c r="AH215" s="59">
        <f t="shared" si="48"/>
        <v>0.57081632653061221</v>
      </c>
      <c r="AI215" s="19"/>
    </row>
    <row r="216" spans="1:35" ht="18" customHeight="1" x14ac:dyDescent="0.3">
      <c r="A216" s="56">
        <v>3202</v>
      </c>
      <c r="B216" s="23" t="s">
        <v>586</v>
      </c>
      <c r="C216" s="14">
        <v>2000</v>
      </c>
      <c r="D216" s="18" t="str">
        <f>VLOOKUP(A216, '전체 목록(n=66)'!C:F, 4, FALSE)</f>
        <v>미국</v>
      </c>
      <c r="E216" s="6">
        <f t="shared" si="49"/>
        <v>147</v>
      </c>
      <c r="F216" s="6" t="s">
        <v>97</v>
      </c>
      <c r="G216" s="6">
        <v>75</v>
      </c>
      <c r="H216" s="6" t="s">
        <v>98</v>
      </c>
      <c r="I216" s="6">
        <v>72</v>
      </c>
      <c r="J216" s="6" t="s">
        <v>121</v>
      </c>
      <c r="K216" s="6" t="s">
        <v>252</v>
      </c>
      <c r="L216" s="19"/>
      <c r="M216" s="19"/>
      <c r="N216" s="19"/>
      <c r="O216" s="19"/>
      <c r="P216" s="19">
        <v>35</v>
      </c>
      <c r="Q216" s="19">
        <v>89</v>
      </c>
      <c r="R216" s="19"/>
      <c r="S216" s="19"/>
      <c r="T216" s="19"/>
      <c r="U216" s="19"/>
      <c r="V216" s="19"/>
      <c r="W216" s="19"/>
      <c r="X216" s="19"/>
      <c r="Y216" s="19"/>
      <c r="Z216" s="58">
        <f t="shared" si="40"/>
        <v>26.25</v>
      </c>
      <c r="AA216" s="58">
        <f t="shared" si="41"/>
        <v>7.9200000000000017</v>
      </c>
      <c r="AB216" s="58">
        <f t="shared" si="42"/>
        <v>48.75</v>
      </c>
      <c r="AC216" s="58">
        <f t="shared" si="43"/>
        <v>64.08</v>
      </c>
      <c r="AD216" s="59">
        <f t="shared" si="44"/>
        <v>0.35</v>
      </c>
      <c r="AE216" s="59">
        <f t="shared" si="45"/>
        <v>0.89</v>
      </c>
      <c r="AF216" s="59">
        <f t="shared" si="46"/>
        <v>0.768217734855136</v>
      </c>
      <c r="AG216" s="59">
        <f t="shared" si="47"/>
        <v>0.56793406009040148</v>
      </c>
      <c r="AH216" s="59">
        <f t="shared" si="48"/>
        <v>0.61448979591836739</v>
      </c>
      <c r="AI216" s="19"/>
    </row>
    <row r="217" spans="1:35" ht="18" customHeight="1" x14ac:dyDescent="0.3">
      <c r="A217" s="56">
        <v>3202</v>
      </c>
      <c r="B217" s="23" t="s">
        <v>586</v>
      </c>
      <c r="C217" s="14">
        <v>2000</v>
      </c>
      <c r="D217" s="18" t="str">
        <f>VLOOKUP(A217, '전체 목록(n=66)'!C:F, 4, FALSE)</f>
        <v>미국</v>
      </c>
      <c r="E217" s="6">
        <f t="shared" si="49"/>
        <v>147</v>
      </c>
      <c r="F217" s="6" t="s">
        <v>97</v>
      </c>
      <c r="G217" s="6">
        <v>75</v>
      </c>
      <c r="H217" s="6" t="s">
        <v>98</v>
      </c>
      <c r="I217" s="6">
        <v>72</v>
      </c>
      <c r="J217" s="6" t="s">
        <v>39</v>
      </c>
      <c r="K217" s="6" t="s">
        <v>250</v>
      </c>
      <c r="L217" s="19"/>
      <c r="M217" s="19"/>
      <c r="N217" s="19"/>
      <c r="O217" s="19"/>
      <c r="P217" s="19">
        <v>30</v>
      </c>
      <c r="Q217" s="19">
        <v>93</v>
      </c>
      <c r="R217" s="19"/>
      <c r="S217" s="19"/>
      <c r="T217" s="19"/>
      <c r="U217" s="19"/>
      <c r="V217" s="19"/>
      <c r="W217" s="19"/>
      <c r="X217" s="19"/>
      <c r="Y217" s="19"/>
      <c r="Z217" s="58">
        <f t="shared" si="40"/>
        <v>22.5</v>
      </c>
      <c r="AA217" s="58">
        <f t="shared" si="41"/>
        <v>5.0400000000000063</v>
      </c>
      <c r="AB217" s="58">
        <f t="shared" si="42"/>
        <v>52.5</v>
      </c>
      <c r="AC217" s="58">
        <f t="shared" si="43"/>
        <v>66.959999999999994</v>
      </c>
      <c r="AD217" s="59">
        <f t="shared" si="44"/>
        <v>0.3</v>
      </c>
      <c r="AE217" s="59">
        <f t="shared" si="45"/>
        <v>0.92999999999999994</v>
      </c>
      <c r="AF217" s="59">
        <f t="shared" si="46"/>
        <v>0.81699346405228734</v>
      </c>
      <c r="AG217" s="59">
        <f t="shared" si="47"/>
        <v>0.56052235057759914</v>
      </c>
      <c r="AH217" s="59">
        <f t="shared" si="48"/>
        <v>0.60857142857142854</v>
      </c>
      <c r="AI217" s="19"/>
    </row>
    <row r="218" spans="1:35" ht="18" customHeight="1" x14ac:dyDescent="0.3">
      <c r="A218" s="56">
        <v>3202</v>
      </c>
      <c r="B218" s="23" t="s">
        <v>586</v>
      </c>
      <c r="C218" s="14">
        <v>2000</v>
      </c>
      <c r="D218" s="18" t="str">
        <f>VLOOKUP(A218, '전체 목록(n=66)'!C:F, 4, FALSE)</f>
        <v>미국</v>
      </c>
      <c r="E218" s="6">
        <f t="shared" si="49"/>
        <v>147</v>
      </c>
      <c r="F218" s="6" t="s">
        <v>97</v>
      </c>
      <c r="G218" s="6">
        <v>75</v>
      </c>
      <c r="H218" s="6" t="s">
        <v>98</v>
      </c>
      <c r="I218" s="6">
        <v>72</v>
      </c>
      <c r="J218" s="6" t="s">
        <v>121</v>
      </c>
      <c r="K218" s="6" t="s">
        <v>253</v>
      </c>
      <c r="L218" s="19"/>
      <c r="M218" s="19"/>
      <c r="N218" s="19"/>
      <c r="O218" s="19"/>
      <c r="P218" s="19">
        <v>33</v>
      </c>
      <c r="Q218" s="19">
        <v>91</v>
      </c>
      <c r="R218" s="19"/>
      <c r="S218" s="19"/>
      <c r="T218" s="19"/>
      <c r="U218" s="19"/>
      <c r="V218" s="19"/>
      <c r="W218" s="19"/>
      <c r="X218" s="19"/>
      <c r="Y218" s="19"/>
      <c r="Z218" s="58">
        <f t="shared" si="40"/>
        <v>24.75</v>
      </c>
      <c r="AA218" s="58">
        <f t="shared" si="41"/>
        <v>6.480000000000004</v>
      </c>
      <c r="AB218" s="58">
        <f t="shared" si="42"/>
        <v>50.25</v>
      </c>
      <c r="AC218" s="58">
        <f t="shared" si="43"/>
        <v>65.52</v>
      </c>
      <c r="AD218" s="59">
        <f t="shared" si="44"/>
        <v>0.33</v>
      </c>
      <c r="AE218" s="59">
        <f t="shared" si="45"/>
        <v>0.90999999999999992</v>
      </c>
      <c r="AF218" s="59">
        <f t="shared" si="46"/>
        <v>0.79250720461095092</v>
      </c>
      <c r="AG218" s="59">
        <f t="shared" si="47"/>
        <v>0.56594972790878462</v>
      </c>
      <c r="AH218" s="59">
        <f t="shared" si="48"/>
        <v>0.61408163265306115</v>
      </c>
      <c r="AI218" s="19"/>
    </row>
    <row r="219" spans="1:35" ht="18" customHeight="1" x14ac:dyDescent="0.3">
      <c r="A219" s="56">
        <v>3202</v>
      </c>
      <c r="B219" s="23" t="s">
        <v>586</v>
      </c>
      <c r="C219" s="14">
        <v>2000</v>
      </c>
      <c r="D219" s="18" t="str">
        <f>VLOOKUP(A219, '전체 목록(n=66)'!C:F, 4, FALSE)</f>
        <v>미국</v>
      </c>
      <c r="E219" s="6">
        <f t="shared" si="49"/>
        <v>147</v>
      </c>
      <c r="F219" s="6" t="s">
        <v>97</v>
      </c>
      <c r="G219" s="6">
        <v>75</v>
      </c>
      <c r="H219" s="6" t="s">
        <v>98</v>
      </c>
      <c r="I219" s="6">
        <v>72</v>
      </c>
      <c r="J219" s="6" t="s">
        <v>39</v>
      </c>
      <c r="K219" s="6" t="s">
        <v>251</v>
      </c>
      <c r="L219" s="19"/>
      <c r="M219" s="19"/>
      <c r="N219" s="19"/>
      <c r="O219" s="19"/>
      <c r="P219" s="19">
        <v>28</v>
      </c>
      <c r="Q219" s="19">
        <v>97</v>
      </c>
      <c r="R219" s="19"/>
      <c r="S219" s="19"/>
      <c r="T219" s="19"/>
      <c r="U219" s="19"/>
      <c r="V219" s="19"/>
      <c r="W219" s="19"/>
      <c r="X219" s="19"/>
      <c r="Y219" s="19"/>
      <c r="Z219" s="58">
        <f t="shared" si="40"/>
        <v>21</v>
      </c>
      <c r="AA219" s="58">
        <f t="shared" si="41"/>
        <v>2.1599999999999966</v>
      </c>
      <c r="AB219" s="58">
        <f t="shared" si="42"/>
        <v>54</v>
      </c>
      <c r="AC219" s="58">
        <f t="shared" si="43"/>
        <v>69.84</v>
      </c>
      <c r="AD219" s="59">
        <f t="shared" si="44"/>
        <v>0.28000000000000003</v>
      </c>
      <c r="AE219" s="59">
        <f t="shared" si="45"/>
        <v>0.97000000000000008</v>
      </c>
      <c r="AF219" s="59">
        <f t="shared" si="46"/>
        <v>0.9067357512953369</v>
      </c>
      <c r="AG219" s="59">
        <f t="shared" si="47"/>
        <v>0.56395348837209303</v>
      </c>
      <c r="AH219" s="59">
        <f t="shared" si="48"/>
        <v>0.61795918367346936</v>
      </c>
      <c r="AI219" s="19"/>
    </row>
    <row r="220" spans="1:35" ht="18" customHeight="1" x14ac:dyDescent="0.3">
      <c r="A220" s="56">
        <v>3202</v>
      </c>
      <c r="B220" s="23" t="s">
        <v>586</v>
      </c>
      <c r="C220" s="14">
        <v>2000</v>
      </c>
      <c r="D220" s="18" t="str">
        <f>VLOOKUP(A220, '전체 목록(n=66)'!C:F, 4, FALSE)</f>
        <v>미국</v>
      </c>
      <c r="E220" s="6">
        <f t="shared" si="49"/>
        <v>147</v>
      </c>
      <c r="F220" s="6" t="s">
        <v>97</v>
      </c>
      <c r="G220" s="6">
        <v>75</v>
      </c>
      <c r="H220" s="6" t="s">
        <v>98</v>
      </c>
      <c r="I220" s="6">
        <v>72</v>
      </c>
      <c r="J220" s="6" t="s">
        <v>121</v>
      </c>
      <c r="K220" s="6" t="s">
        <v>254</v>
      </c>
      <c r="L220" s="19"/>
      <c r="M220" s="19"/>
      <c r="N220" s="19"/>
      <c r="O220" s="19"/>
      <c r="P220" s="19">
        <v>23</v>
      </c>
      <c r="Q220" s="19">
        <v>97</v>
      </c>
      <c r="R220" s="19"/>
      <c r="S220" s="19"/>
      <c r="T220" s="19"/>
      <c r="U220" s="19"/>
      <c r="V220" s="19"/>
      <c r="W220" s="19"/>
      <c r="X220" s="19"/>
      <c r="Y220" s="19"/>
      <c r="Z220" s="58">
        <f t="shared" si="40"/>
        <v>17.25</v>
      </c>
      <c r="AA220" s="58">
        <f t="shared" si="41"/>
        <v>2.1599999999999966</v>
      </c>
      <c r="AB220" s="58">
        <f t="shared" si="42"/>
        <v>57.75</v>
      </c>
      <c r="AC220" s="58">
        <f t="shared" si="43"/>
        <v>69.84</v>
      </c>
      <c r="AD220" s="59">
        <f t="shared" si="44"/>
        <v>0.23</v>
      </c>
      <c r="AE220" s="59">
        <f t="shared" si="45"/>
        <v>0.97000000000000008</v>
      </c>
      <c r="AF220" s="59">
        <f t="shared" si="46"/>
        <v>0.8887171561051006</v>
      </c>
      <c r="AG220" s="59">
        <f t="shared" si="47"/>
        <v>0.54737832118504581</v>
      </c>
      <c r="AH220" s="59">
        <f t="shared" si="48"/>
        <v>0.59244897959183673</v>
      </c>
      <c r="AI220" s="19"/>
    </row>
    <row r="221" spans="1:35" ht="18" customHeight="1" x14ac:dyDescent="0.3">
      <c r="A221" s="56">
        <v>3202</v>
      </c>
      <c r="B221" s="23" t="s">
        <v>586</v>
      </c>
      <c r="C221" s="14">
        <v>2000</v>
      </c>
      <c r="D221" s="18" t="str">
        <f>VLOOKUP(A221, '전체 목록(n=66)'!C:F, 4, FALSE)</f>
        <v>미국</v>
      </c>
      <c r="E221" s="6">
        <f t="shared" si="49"/>
        <v>147</v>
      </c>
      <c r="F221" s="6" t="s">
        <v>97</v>
      </c>
      <c r="G221" s="6">
        <v>75</v>
      </c>
      <c r="H221" s="6" t="s">
        <v>98</v>
      </c>
      <c r="I221" s="6">
        <v>72</v>
      </c>
      <c r="J221" s="6" t="s">
        <v>39</v>
      </c>
      <c r="K221" s="6" t="s">
        <v>255</v>
      </c>
      <c r="L221" s="19"/>
      <c r="M221" s="19"/>
      <c r="N221" s="19"/>
      <c r="O221" s="19"/>
      <c r="P221" s="19">
        <v>78</v>
      </c>
      <c r="Q221" s="19">
        <v>76</v>
      </c>
      <c r="R221" s="19"/>
      <c r="S221" s="19"/>
      <c r="T221" s="19"/>
      <c r="U221" s="19"/>
      <c r="V221" s="19"/>
      <c r="W221" s="19"/>
      <c r="X221" s="19"/>
      <c r="Y221" s="19"/>
      <c r="Z221" s="58">
        <f t="shared" si="40"/>
        <v>58.5</v>
      </c>
      <c r="AA221" s="58">
        <f t="shared" si="41"/>
        <v>17.28</v>
      </c>
      <c r="AB221" s="58">
        <f t="shared" si="42"/>
        <v>16.5</v>
      </c>
      <c r="AC221" s="58">
        <f t="shared" si="43"/>
        <v>54.72</v>
      </c>
      <c r="AD221" s="59">
        <f t="shared" si="44"/>
        <v>0.78</v>
      </c>
      <c r="AE221" s="59">
        <f t="shared" si="45"/>
        <v>0.76</v>
      </c>
      <c r="AF221" s="59">
        <f t="shared" si="46"/>
        <v>0.77197149643705465</v>
      </c>
      <c r="AG221" s="59">
        <f t="shared" si="47"/>
        <v>0.76832350463352994</v>
      </c>
      <c r="AH221" s="59">
        <f t="shared" si="48"/>
        <v>0.77020408163265308</v>
      </c>
      <c r="AI221" s="19"/>
    </row>
    <row r="222" spans="1:35" ht="18" customHeight="1" x14ac:dyDescent="0.3">
      <c r="A222" s="56">
        <v>3202</v>
      </c>
      <c r="B222" s="23" t="s">
        <v>586</v>
      </c>
      <c r="C222" s="14">
        <v>2000</v>
      </c>
      <c r="D222" s="18" t="str">
        <f>VLOOKUP(A222, '전체 목록(n=66)'!C:F, 4, FALSE)</f>
        <v>미국</v>
      </c>
      <c r="E222" s="6">
        <f t="shared" si="49"/>
        <v>147</v>
      </c>
      <c r="F222" s="6" t="s">
        <v>97</v>
      </c>
      <c r="G222" s="6">
        <v>75</v>
      </c>
      <c r="H222" s="6" t="s">
        <v>98</v>
      </c>
      <c r="I222" s="6">
        <v>72</v>
      </c>
      <c r="J222" s="6" t="s">
        <v>121</v>
      </c>
      <c r="K222" s="6" t="s">
        <v>256</v>
      </c>
      <c r="L222" s="19"/>
      <c r="M222" s="19"/>
      <c r="N222" s="19"/>
      <c r="O222" s="19"/>
      <c r="P222" s="19">
        <v>78</v>
      </c>
      <c r="Q222" s="19">
        <v>57</v>
      </c>
      <c r="R222" s="19"/>
      <c r="S222" s="19"/>
      <c r="T222" s="19"/>
      <c r="U222" s="19"/>
      <c r="V222" s="19"/>
      <c r="W222" s="19"/>
      <c r="X222" s="19"/>
      <c r="Y222" s="19"/>
      <c r="Z222" s="58">
        <f t="shared" si="40"/>
        <v>58.5</v>
      </c>
      <c r="AA222" s="58">
        <f t="shared" si="41"/>
        <v>30.96</v>
      </c>
      <c r="AB222" s="58">
        <f t="shared" si="42"/>
        <v>16.5</v>
      </c>
      <c r="AC222" s="58">
        <f t="shared" si="43"/>
        <v>41.04</v>
      </c>
      <c r="AD222" s="59">
        <f t="shared" si="44"/>
        <v>0.78</v>
      </c>
      <c r="AE222" s="59">
        <f t="shared" si="45"/>
        <v>0.56999999999999995</v>
      </c>
      <c r="AF222" s="59">
        <f t="shared" si="46"/>
        <v>0.65392354124748486</v>
      </c>
      <c r="AG222" s="59">
        <f t="shared" si="47"/>
        <v>0.71324296141814392</v>
      </c>
      <c r="AH222" s="59">
        <f t="shared" si="48"/>
        <v>0.67714285714285705</v>
      </c>
      <c r="AI222" s="19"/>
    </row>
    <row r="223" spans="1:35" ht="18" customHeight="1" x14ac:dyDescent="0.3">
      <c r="A223" s="56">
        <v>3202</v>
      </c>
      <c r="B223" s="23" t="s">
        <v>586</v>
      </c>
      <c r="C223" s="14">
        <v>2000</v>
      </c>
      <c r="D223" s="18" t="str">
        <f>VLOOKUP(A223, '전체 목록(n=66)'!C:F, 4, FALSE)</f>
        <v>미국</v>
      </c>
      <c r="E223" s="6">
        <f t="shared" si="49"/>
        <v>147</v>
      </c>
      <c r="F223" s="6" t="s">
        <v>97</v>
      </c>
      <c r="G223" s="6">
        <v>75</v>
      </c>
      <c r="H223" s="6" t="s">
        <v>98</v>
      </c>
      <c r="I223" s="6">
        <v>72</v>
      </c>
      <c r="J223" s="6" t="s">
        <v>39</v>
      </c>
      <c r="K223" s="6" t="s">
        <v>257</v>
      </c>
      <c r="L223" s="19"/>
      <c r="M223" s="19"/>
      <c r="N223" s="19"/>
      <c r="O223" s="19"/>
      <c r="P223" s="19">
        <v>74</v>
      </c>
      <c r="Q223" s="19">
        <v>81</v>
      </c>
      <c r="R223" s="19"/>
      <c r="S223" s="19"/>
      <c r="T223" s="19"/>
      <c r="U223" s="19"/>
      <c r="V223" s="19"/>
      <c r="W223" s="19"/>
      <c r="X223" s="19"/>
      <c r="Y223" s="19"/>
      <c r="Z223" s="58">
        <f t="shared" si="40"/>
        <v>55.5</v>
      </c>
      <c r="AA223" s="58">
        <f t="shared" si="41"/>
        <v>13.68</v>
      </c>
      <c r="AB223" s="58">
        <f t="shared" si="42"/>
        <v>19.5</v>
      </c>
      <c r="AC223" s="58">
        <f t="shared" si="43"/>
        <v>58.32</v>
      </c>
      <c r="AD223" s="59">
        <f t="shared" si="44"/>
        <v>0.74</v>
      </c>
      <c r="AE223" s="59">
        <f t="shared" si="45"/>
        <v>0.81</v>
      </c>
      <c r="AF223" s="59">
        <f t="shared" si="46"/>
        <v>0.80225498699045961</v>
      </c>
      <c r="AG223" s="59">
        <f t="shared" si="47"/>
        <v>0.74942174248265236</v>
      </c>
      <c r="AH223" s="59">
        <f t="shared" si="48"/>
        <v>0.77428571428571424</v>
      </c>
      <c r="AI223" s="19"/>
    </row>
    <row r="224" spans="1:35" ht="18" customHeight="1" x14ac:dyDescent="0.3">
      <c r="A224" s="56">
        <v>3202</v>
      </c>
      <c r="B224" s="23" t="s">
        <v>586</v>
      </c>
      <c r="C224" s="14">
        <v>2000</v>
      </c>
      <c r="D224" s="18" t="str">
        <f>VLOOKUP(A224, '전체 목록(n=66)'!C:F, 4, FALSE)</f>
        <v>미국</v>
      </c>
      <c r="E224" s="6">
        <f t="shared" si="49"/>
        <v>147</v>
      </c>
      <c r="F224" s="6" t="s">
        <v>97</v>
      </c>
      <c r="G224" s="6">
        <v>75</v>
      </c>
      <c r="H224" s="6" t="s">
        <v>98</v>
      </c>
      <c r="I224" s="6">
        <v>72</v>
      </c>
      <c r="J224" s="6" t="s">
        <v>121</v>
      </c>
      <c r="K224" s="6" t="s">
        <v>258</v>
      </c>
      <c r="L224" s="19"/>
      <c r="M224" s="19"/>
      <c r="N224" s="19"/>
      <c r="O224" s="19"/>
      <c r="P224" s="19">
        <v>56</v>
      </c>
      <c r="Q224" s="19">
        <v>71</v>
      </c>
      <c r="R224" s="19"/>
      <c r="S224" s="19"/>
      <c r="T224" s="19"/>
      <c r="U224" s="19"/>
      <c r="V224" s="19"/>
      <c r="W224" s="19"/>
      <c r="X224" s="19"/>
      <c r="Y224" s="19"/>
      <c r="Z224" s="58">
        <f t="shared" si="40"/>
        <v>42</v>
      </c>
      <c r="AA224" s="58">
        <f t="shared" si="41"/>
        <v>20.880000000000003</v>
      </c>
      <c r="AB224" s="58">
        <f t="shared" si="42"/>
        <v>33</v>
      </c>
      <c r="AC224" s="58">
        <f t="shared" si="43"/>
        <v>51.12</v>
      </c>
      <c r="AD224" s="59">
        <f t="shared" si="44"/>
        <v>0.56000000000000005</v>
      </c>
      <c r="AE224" s="59">
        <f t="shared" si="45"/>
        <v>0.71</v>
      </c>
      <c r="AF224" s="59">
        <f t="shared" si="46"/>
        <v>0.66793893129770987</v>
      </c>
      <c r="AG224" s="59">
        <f t="shared" si="47"/>
        <v>0.60770328102710403</v>
      </c>
      <c r="AH224" s="59">
        <f t="shared" si="48"/>
        <v>0.63346938775510209</v>
      </c>
      <c r="AI224" s="19"/>
    </row>
    <row r="225" spans="1:35" ht="18" customHeight="1" x14ac:dyDescent="0.3">
      <c r="A225" s="56">
        <v>3202</v>
      </c>
      <c r="B225" s="23" t="s">
        <v>586</v>
      </c>
      <c r="C225" s="14">
        <v>2000</v>
      </c>
      <c r="D225" s="18" t="str">
        <f>VLOOKUP(A225, '전체 목록(n=66)'!C:F, 4, FALSE)</f>
        <v>미국</v>
      </c>
      <c r="E225" s="6">
        <f t="shared" si="49"/>
        <v>147</v>
      </c>
      <c r="F225" s="6" t="s">
        <v>97</v>
      </c>
      <c r="G225" s="6">
        <v>75</v>
      </c>
      <c r="H225" s="6" t="s">
        <v>98</v>
      </c>
      <c r="I225" s="6">
        <v>72</v>
      </c>
      <c r="J225" s="6" t="s">
        <v>39</v>
      </c>
      <c r="K225" s="6" t="s">
        <v>259</v>
      </c>
      <c r="L225" s="19"/>
      <c r="M225" s="19"/>
      <c r="N225" s="19"/>
      <c r="O225" s="19"/>
      <c r="P225" s="19">
        <v>63</v>
      </c>
      <c r="Q225" s="19">
        <v>91</v>
      </c>
      <c r="R225" s="19"/>
      <c r="S225" s="19"/>
      <c r="T225" s="19"/>
      <c r="U225" s="19"/>
      <c r="V225" s="19"/>
      <c r="W225" s="19"/>
      <c r="X225" s="19"/>
      <c r="Y225" s="19"/>
      <c r="Z225" s="58">
        <f t="shared" si="40"/>
        <v>47.25</v>
      </c>
      <c r="AA225" s="58">
        <f t="shared" si="41"/>
        <v>6.480000000000004</v>
      </c>
      <c r="AB225" s="58">
        <f t="shared" si="42"/>
        <v>27.75</v>
      </c>
      <c r="AC225" s="58">
        <f t="shared" si="43"/>
        <v>65.52</v>
      </c>
      <c r="AD225" s="59">
        <f t="shared" si="44"/>
        <v>0.63</v>
      </c>
      <c r="AE225" s="59">
        <f t="shared" si="45"/>
        <v>0.90999999999999992</v>
      </c>
      <c r="AF225" s="59">
        <f t="shared" si="46"/>
        <v>0.87939698492462304</v>
      </c>
      <c r="AG225" s="59">
        <f t="shared" si="47"/>
        <v>0.70247668060469604</v>
      </c>
      <c r="AH225" s="59">
        <f t="shared" si="48"/>
        <v>0.76714285714285713</v>
      </c>
      <c r="AI225" s="19"/>
    </row>
    <row r="226" spans="1:35" ht="18" customHeight="1" x14ac:dyDescent="0.3">
      <c r="A226" s="56">
        <v>3202</v>
      </c>
      <c r="B226" s="23" t="s">
        <v>586</v>
      </c>
      <c r="C226" s="14">
        <v>2000</v>
      </c>
      <c r="D226" s="18" t="str">
        <f>VLOOKUP(A226, '전체 목록(n=66)'!C:F, 4, FALSE)</f>
        <v>미국</v>
      </c>
      <c r="E226" s="6">
        <f t="shared" si="49"/>
        <v>147</v>
      </c>
      <c r="F226" s="6" t="s">
        <v>97</v>
      </c>
      <c r="G226" s="6">
        <v>75</v>
      </c>
      <c r="H226" s="6" t="s">
        <v>98</v>
      </c>
      <c r="I226" s="6">
        <v>72</v>
      </c>
      <c r="J226" s="6" t="s">
        <v>121</v>
      </c>
      <c r="K226" s="6" t="s">
        <v>260</v>
      </c>
      <c r="L226" s="19"/>
      <c r="M226" s="19"/>
      <c r="N226" s="19"/>
      <c r="O226" s="19"/>
      <c r="P226" s="19">
        <v>44</v>
      </c>
      <c r="Q226" s="19">
        <v>71</v>
      </c>
      <c r="R226" s="19"/>
      <c r="S226" s="19"/>
      <c r="T226" s="19"/>
      <c r="U226" s="19"/>
      <c r="V226" s="19"/>
      <c r="W226" s="19"/>
      <c r="X226" s="19"/>
      <c r="Y226" s="19"/>
      <c r="Z226" s="58">
        <f t="shared" si="40"/>
        <v>33</v>
      </c>
      <c r="AA226" s="58">
        <f t="shared" si="41"/>
        <v>20.880000000000003</v>
      </c>
      <c r="AB226" s="58">
        <f t="shared" si="42"/>
        <v>42</v>
      </c>
      <c r="AC226" s="58">
        <f t="shared" si="43"/>
        <v>51.12</v>
      </c>
      <c r="AD226" s="59">
        <f t="shared" si="44"/>
        <v>0.44</v>
      </c>
      <c r="AE226" s="59">
        <f t="shared" si="45"/>
        <v>0.71</v>
      </c>
      <c r="AF226" s="59">
        <f t="shared" si="46"/>
        <v>0.61247216035634744</v>
      </c>
      <c r="AG226" s="59">
        <f t="shared" si="47"/>
        <v>0.54896907216494839</v>
      </c>
      <c r="AH226" s="59">
        <f t="shared" si="48"/>
        <v>0.57224489795918365</v>
      </c>
      <c r="AI226" s="19"/>
    </row>
    <row r="227" spans="1:35" ht="18" customHeight="1" x14ac:dyDescent="0.3">
      <c r="A227" s="56">
        <v>3202</v>
      </c>
      <c r="B227" s="23" t="s">
        <v>586</v>
      </c>
      <c r="C227" s="14">
        <v>2000</v>
      </c>
      <c r="D227" s="18" t="str">
        <f>VLOOKUP(A227, '전체 목록(n=66)'!C:F, 4, FALSE)</f>
        <v>미국</v>
      </c>
      <c r="E227" s="6">
        <f t="shared" si="49"/>
        <v>147</v>
      </c>
      <c r="F227" s="6" t="s">
        <v>97</v>
      </c>
      <c r="G227" s="6">
        <v>75</v>
      </c>
      <c r="H227" s="6" t="s">
        <v>98</v>
      </c>
      <c r="I227" s="6">
        <v>72</v>
      </c>
      <c r="J227" s="6" t="s">
        <v>39</v>
      </c>
      <c r="K227" s="6" t="s">
        <v>261</v>
      </c>
      <c r="L227" s="19"/>
      <c r="M227" s="19"/>
      <c r="N227" s="19"/>
      <c r="O227" s="19"/>
      <c r="P227" s="19">
        <v>86</v>
      </c>
      <c r="Q227" s="19">
        <v>74</v>
      </c>
      <c r="R227" s="19"/>
      <c r="S227" s="19"/>
      <c r="T227" s="19"/>
      <c r="U227" s="19"/>
      <c r="V227" s="19"/>
      <c r="W227" s="19"/>
      <c r="X227" s="19"/>
      <c r="Y227" s="19"/>
      <c r="Z227" s="58">
        <f t="shared" si="40"/>
        <v>64.5</v>
      </c>
      <c r="AA227" s="58">
        <f t="shared" si="41"/>
        <v>18.72</v>
      </c>
      <c r="AB227" s="58">
        <f t="shared" si="42"/>
        <v>10.5</v>
      </c>
      <c r="AC227" s="58">
        <f t="shared" si="43"/>
        <v>53.28</v>
      </c>
      <c r="AD227" s="59">
        <f t="shared" si="44"/>
        <v>0.86</v>
      </c>
      <c r="AE227" s="59">
        <f t="shared" si="45"/>
        <v>0.74</v>
      </c>
      <c r="AF227" s="59">
        <f t="shared" si="46"/>
        <v>0.77505407354001443</v>
      </c>
      <c r="AG227" s="59">
        <f t="shared" si="47"/>
        <v>0.83537158984007531</v>
      </c>
      <c r="AH227" s="59">
        <f t="shared" si="48"/>
        <v>0.80122448979591843</v>
      </c>
    </row>
    <row r="228" spans="1:35" ht="18" customHeight="1" x14ac:dyDescent="0.3">
      <c r="A228" s="56">
        <v>3202</v>
      </c>
      <c r="B228" s="23" t="s">
        <v>586</v>
      </c>
      <c r="C228" s="14">
        <v>2000</v>
      </c>
      <c r="D228" s="18" t="str">
        <f>VLOOKUP(A228, '전체 목록(n=66)'!C:F, 4, FALSE)</f>
        <v>미국</v>
      </c>
      <c r="E228" s="6">
        <f t="shared" si="49"/>
        <v>147</v>
      </c>
      <c r="F228" s="6" t="s">
        <v>97</v>
      </c>
      <c r="G228" s="6">
        <v>75</v>
      </c>
      <c r="H228" s="6" t="s">
        <v>98</v>
      </c>
      <c r="I228" s="6">
        <v>72</v>
      </c>
      <c r="J228" s="6" t="s">
        <v>121</v>
      </c>
      <c r="K228" s="6" t="s">
        <v>262</v>
      </c>
      <c r="L228" s="19"/>
      <c r="M228" s="19"/>
      <c r="N228" s="19"/>
      <c r="O228" s="19"/>
      <c r="P228" s="19">
        <v>79</v>
      </c>
      <c r="Q228" s="19">
        <v>63</v>
      </c>
      <c r="R228" s="19"/>
      <c r="S228" s="19"/>
      <c r="T228" s="19"/>
      <c r="U228" s="19"/>
      <c r="V228" s="19"/>
      <c r="W228" s="19"/>
      <c r="X228" s="19"/>
      <c r="Y228" s="19"/>
      <c r="Z228" s="58">
        <f t="shared" si="40"/>
        <v>59.25</v>
      </c>
      <c r="AA228" s="58">
        <f t="shared" si="41"/>
        <v>26.64</v>
      </c>
      <c r="AB228" s="58">
        <f t="shared" si="42"/>
        <v>15.75</v>
      </c>
      <c r="AC228" s="58">
        <f t="shared" si="43"/>
        <v>45.36</v>
      </c>
      <c r="AD228" s="59">
        <f t="shared" si="44"/>
        <v>0.79</v>
      </c>
      <c r="AE228" s="59">
        <f t="shared" si="45"/>
        <v>0.63</v>
      </c>
      <c r="AF228" s="59">
        <f t="shared" si="46"/>
        <v>0.68983583653510305</v>
      </c>
      <c r="AG228" s="59">
        <f t="shared" si="47"/>
        <v>0.74226804123711343</v>
      </c>
      <c r="AH228" s="59">
        <f t="shared" si="48"/>
        <v>0.71163265306122447</v>
      </c>
    </row>
    <row r="229" spans="1:35" ht="18" customHeight="1" x14ac:dyDescent="0.3">
      <c r="A229" s="56">
        <v>3202</v>
      </c>
      <c r="B229" s="23" t="s">
        <v>586</v>
      </c>
      <c r="C229" s="14">
        <v>2000</v>
      </c>
      <c r="D229" s="18" t="str">
        <f>VLOOKUP(A229, '전체 목록(n=66)'!C:F, 4, FALSE)</f>
        <v>미국</v>
      </c>
      <c r="E229" s="6">
        <f t="shared" si="49"/>
        <v>147</v>
      </c>
      <c r="F229" s="6" t="s">
        <v>97</v>
      </c>
      <c r="G229" s="6">
        <v>75</v>
      </c>
      <c r="H229" s="6" t="s">
        <v>98</v>
      </c>
      <c r="I229" s="6">
        <v>72</v>
      </c>
      <c r="J229" s="6" t="s">
        <v>39</v>
      </c>
      <c r="K229" s="6" t="s">
        <v>263</v>
      </c>
      <c r="L229" s="19"/>
      <c r="M229" s="19"/>
      <c r="N229" s="19"/>
      <c r="O229" s="19"/>
      <c r="P229" s="19">
        <v>86</v>
      </c>
      <c r="Q229" s="19">
        <v>79</v>
      </c>
      <c r="R229" s="19"/>
      <c r="S229" s="19"/>
      <c r="T229" s="19"/>
      <c r="U229" s="19"/>
      <c r="V229" s="19"/>
      <c r="W229" s="19"/>
      <c r="X229" s="19"/>
      <c r="Y229" s="19"/>
      <c r="Z229" s="58">
        <f t="shared" si="40"/>
        <v>64.5</v>
      </c>
      <c r="AA229" s="58">
        <f t="shared" si="41"/>
        <v>15.119999999999997</v>
      </c>
      <c r="AB229" s="58">
        <f t="shared" si="42"/>
        <v>10.5</v>
      </c>
      <c r="AC229" s="58">
        <f t="shared" si="43"/>
        <v>56.88</v>
      </c>
      <c r="AD229" s="59">
        <f t="shared" si="44"/>
        <v>0.86</v>
      </c>
      <c r="AE229" s="59">
        <f t="shared" si="45"/>
        <v>0.79</v>
      </c>
      <c r="AF229" s="59">
        <f t="shared" si="46"/>
        <v>0.81009796533534284</v>
      </c>
      <c r="AG229" s="59">
        <f t="shared" si="47"/>
        <v>0.84416740872662521</v>
      </c>
      <c r="AH229" s="59">
        <f t="shared" si="48"/>
        <v>0.82571428571428573</v>
      </c>
    </row>
    <row r="230" spans="1:35" ht="18" customHeight="1" x14ac:dyDescent="0.3">
      <c r="A230" s="56">
        <v>3202</v>
      </c>
      <c r="B230" s="23" t="s">
        <v>586</v>
      </c>
      <c r="C230" s="14">
        <v>2000</v>
      </c>
      <c r="D230" s="18" t="str">
        <f>VLOOKUP(A230, '전체 목록(n=66)'!C:F, 4, FALSE)</f>
        <v>미국</v>
      </c>
      <c r="E230" s="6">
        <f t="shared" si="49"/>
        <v>147</v>
      </c>
      <c r="F230" s="6" t="s">
        <v>97</v>
      </c>
      <c r="G230" s="6">
        <v>75</v>
      </c>
      <c r="H230" s="6" t="s">
        <v>98</v>
      </c>
      <c r="I230" s="6">
        <v>72</v>
      </c>
      <c r="J230" s="6" t="s">
        <v>121</v>
      </c>
      <c r="K230" s="6" t="s">
        <v>264</v>
      </c>
      <c r="L230" s="19"/>
      <c r="M230" s="19"/>
      <c r="N230" s="19"/>
      <c r="O230" s="19"/>
      <c r="P230" s="19">
        <v>79</v>
      </c>
      <c r="Q230" s="19">
        <v>63</v>
      </c>
      <c r="R230" s="19"/>
      <c r="S230" s="19"/>
      <c r="T230" s="19"/>
      <c r="U230" s="19"/>
      <c r="V230" s="19"/>
      <c r="W230" s="19"/>
      <c r="X230" s="19"/>
      <c r="Y230" s="19"/>
      <c r="Z230" s="58">
        <f t="shared" si="40"/>
        <v>59.25</v>
      </c>
      <c r="AA230" s="58">
        <f t="shared" si="41"/>
        <v>26.64</v>
      </c>
      <c r="AB230" s="58">
        <f t="shared" si="42"/>
        <v>15.75</v>
      </c>
      <c r="AC230" s="58">
        <f t="shared" si="43"/>
        <v>45.36</v>
      </c>
      <c r="AD230" s="59">
        <f t="shared" si="44"/>
        <v>0.79</v>
      </c>
      <c r="AE230" s="59">
        <f t="shared" si="45"/>
        <v>0.63</v>
      </c>
      <c r="AF230" s="59">
        <f t="shared" si="46"/>
        <v>0.68983583653510305</v>
      </c>
      <c r="AG230" s="59">
        <f t="shared" si="47"/>
        <v>0.74226804123711343</v>
      </c>
      <c r="AH230" s="59">
        <f t="shared" si="48"/>
        <v>0.71163265306122447</v>
      </c>
    </row>
    <row r="231" spans="1:35" ht="18" customHeight="1" x14ac:dyDescent="0.3">
      <c r="A231" s="56">
        <v>3202</v>
      </c>
      <c r="B231" s="23" t="s">
        <v>586</v>
      </c>
      <c r="C231" s="14">
        <v>2000</v>
      </c>
      <c r="D231" s="18" t="str">
        <f>VLOOKUP(A231, '전체 목록(n=66)'!C:F, 4, FALSE)</f>
        <v>미국</v>
      </c>
      <c r="E231" s="6">
        <f t="shared" si="49"/>
        <v>147</v>
      </c>
      <c r="F231" s="6" t="s">
        <v>97</v>
      </c>
      <c r="G231" s="6">
        <v>75</v>
      </c>
      <c r="H231" s="6" t="s">
        <v>98</v>
      </c>
      <c r="I231" s="6">
        <v>72</v>
      </c>
      <c r="J231" s="6" t="s">
        <v>39</v>
      </c>
      <c r="K231" s="6" t="s">
        <v>265</v>
      </c>
      <c r="L231" s="19"/>
      <c r="M231" s="19"/>
      <c r="N231" s="19"/>
      <c r="O231" s="19"/>
      <c r="P231" s="19">
        <v>86</v>
      </c>
      <c r="Q231" s="19">
        <v>84</v>
      </c>
      <c r="R231" s="19"/>
      <c r="S231" s="19"/>
      <c r="T231" s="19"/>
      <c r="U231" s="19"/>
      <c r="V231" s="19"/>
      <c r="W231" s="19"/>
      <c r="X231" s="19"/>
      <c r="Y231" s="19"/>
      <c r="Z231" s="58">
        <f t="shared" si="40"/>
        <v>64.5</v>
      </c>
      <c r="AA231" s="58">
        <f t="shared" si="41"/>
        <v>11.520000000000003</v>
      </c>
      <c r="AB231" s="58">
        <f t="shared" si="42"/>
        <v>10.5</v>
      </c>
      <c r="AC231" s="58">
        <f t="shared" si="43"/>
        <v>60.48</v>
      </c>
      <c r="AD231" s="59">
        <f t="shared" si="44"/>
        <v>0.86</v>
      </c>
      <c r="AE231" s="59">
        <f t="shared" si="45"/>
        <v>0.84</v>
      </c>
      <c r="AF231" s="59">
        <f t="shared" si="46"/>
        <v>0.84846093133385936</v>
      </c>
      <c r="AG231" s="59">
        <f t="shared" si="47"/>
        <v>0.8520710059171599</v>
      </c>
      <c r="AH231" s="59">
        <f t="shared" si="48"/>
        <v>0.85020408163265304</v>
      </c>
    </row>
    <row r="232" spans="1:35" ht="18" customHeight="1" x14ac:dyDescent="0.3">
      <c r="A232" s="56">
        <v>3202</v>
      </c>
      <c r="B232" s="23" t="s">
        <v>586</v>
      </c>
      <c r="C232" s="14">
        <v>2000</v>
      </c>
      <c r="D232" s="18" t="str">
        <f>VLOOKUP(A232, '전체 목록(n=66)'!C:F, 4, FALSE)</f>
        <v>미국</v>
      </c>
      <c r="E232" s="6">
        <f t="shared" si="49"/>
        <v>147</v>
      </c>
      <c r="F232" s="6" t="s">
        <v>97</v>
      </c>
      <c r="G232" s="6">
        <v>75</v>
      </c>
      <c r="H232" s="6" t="s">
        <v>98</v>
      </c>
      <c r="I232" s="6">
        <v>72</v>
      </c>
      <c r="J232" s="6" t="s">
        <v>121</v>
      </c>
      <c r="K232" s="6" t="s">
        <v>266</v>
      </c>
      <c r="L232" s="19"/>
      <c r="M232" s="19"/>
      <c r="N232" s="19"/>
      <c r="O232" s="19"/>
      <c r="P232" s="19">
        <v>64</v>
      </c>
      <c r="Q232" s="19">
        <v>74</v>
      </c>
      <c r="R232" s="19"/>
      <c r="S232" s="19"/>
      <c r="T232" s="19"/>
      <c r="U232" s="19"/>
      <c r="V232" s="19"/>
      <c r="W232" s="19"/>
      <c r="X232" s="19"/>
      <c r="Y232" s="19"/>
      <c r="Z232" s="58">
        <f t="shared" si="40"/>
        <v>48</v>
      </c>
      <c r="AA232" s="58">
        <f t="shared" si="41"/>
        <v>18.72</v>
      </c>
      <c r="AB232" s="58">
        <f t="shared" si="42"/>
        <v>27</v>
      </c>
      <c r="AC232" s="58">
        <f t="shared" si="43"/>
        <v>53.28</v>
      </c>
      <c r="AD232" s="59">
        <f t="shared" si="44"/>
        <v>0.64</v>
      </c>
      <c r="AE232" s="59">
        <f t="shared" si="45"/>
        <v>0.74</v>
      </c>
      <c r="AF232" s="59">
        <f t="shared" si="46"/>
        <v>0.71942446043165464</v>
      </c>
      <c r="AG232" s="59">
        <f t="shared" si="47"/>
        <v>0.66367713004484308</v>
      </c>
      <c r="AH232" s="59">
        <f t="shared" si="48"/>
        <v>0.68897959183673474</v>
      </c>
    </row>
    <row r="233" spans="1:35" ht="18" customHeight="1" x14ac:dyDescent="0.3">
      <c r="A233" s="56">
        <v>3233</v>
      </c>
      <c r="B233" s="23" t="s">
        <v>588</v>
      </c>
      <c r="C233" s="14">
        <v>1999</v>
      </c>
      <c r="D233" s="18" t="str">
        <f>VLOOKUP(A233, '전체 목록(n=66)'!C:F, 4, FALSE)</f>
        <v>미국</v>
      </c>
      <c r="E233" s="6">
        <v>75</v>
      </c>
      <c r="F233" s="6" t="s">
        <v>106</v>
      </c>
      <c r="G233" s="6">
        <v>24</v>
      </c>
      <c r="H233" s="6" t="s">
        <v>107</v>
      </c>
      <c r="I233" s="6">
        <v>51</v>
      </c>
      <c r="J233" s="6" t="s">
        <v>39</v>
      </c>
      <c r="K233" s="6" t="s">
        <v>167</v>
      </c>
      <c r="L233" s="19">
        <v>24</v>
      </c>
      <c r="M233" s="19">
        <v>3</v>
      </c>
      <c r="N233" s="19">
        <v>9</v>
      </c>
      <c r="O233" s="19">
        <v>39</v>
      </c>
      <c r="P233" s="19">
        <v>15</v>
      </c>
      <c r="Q233" s="19">
        <v>93</v>
      </c>
      <c r="R233" s="19">
        <v>63</v>
      </c>
      <c r="S233" s="19">
        <v>58</v>
      </c>
      <c r="T233" s="19"/>
      <c r="U233" s="19"/>
      <c r="V233" s="19"/>
      <c r="W233" s="19"/>
      <c r="X233" s="19"/>
      <c r="Y233" s="19"/>
      <c r="Z233" s="58">
        <f t="shared" si="40"/>
        <v>3.6</v>
      </c>
      <c r="AA233" s="58">
        <f t="shared" si="41"/>
        <v>3.5700000000000003</v>
      </c>
      <c r="AB233" s="58">
        <f t="shared" si="42"/>
        <v>20.399999999999999</v>
      </c>
      <c r="AC233" s="58">
        <f t="shared" si="43"/>
        <v>47.43</v>
      </c>
      <c r="AD233" s="59">
        <f t="shared" si="44"/>
        <v>0.15</v>
      </c>
      <c r="AE233" s="59">
        <f t="shared" si="45"/>
        <v>0.93</v>
      </c>
      <c r="AF233" s="59">
        <f t="shared" si="46"/>
        <v>0.502092050209205</v>
      </c>
      <c r="AG233" s="59">
        <f t="shared" si="47"/>
        <v>0.6992481203007519</v>
      </c>
      <c r="AH233" s="59">
        <f t="shared" si="48"/>
        <v>0.6804</v>
      </c>
    </row>
    <row r="234" spans="1:35" ht="18" customHeight="1" x14ac:dyDescent="0.3">
      <c r="A234" s="56">
        <v>3233</v>
      </c>
      <c r="B234" s="23" t="s">
        <v>588</v>
      </c>
      <c r="C234" s="14">
        <v>1999</v>
      </c>
      <c r="D234" s="18" t="str">
        <f>VLOOKUP(A234, '전체 목록(n=66)'!C:F, 4, FALSE)</f>
        <v>미국</v>
      </c>
      <c r="E234" s="6">
        <v>75</v>
      </c>
      <c r="F234" s="6" t="s">
        <v>106</v>
      </c>
      <c r="G234" s="6">
        <v>24</v>
      </c>
      <c r="H234" s="6" t="s">
        <v>107</v>
      </c>
      <c r="I234" s="6">
        <v>51</v>
      </c>
      <c r="J234" s="6" t="s">
        <v>51</v>
      </c>
      <c r="K234" s="6" t="s">
        <v>167</v>
      </c>
      <c r="L234" s="19"/>
      <c r="M234" s="19"/>
      <c r="N234" s="19"/>
      <c r="O234" s="19"/>
      <c r="P234" s="19">
        <v>3</v>
      </c>
      <c r="Q234" s="19">
        <v>100</v>
      </c>
      <c r="R234" s="19">
        <v>100</v>
      </c>
      <c r="S234" s="19">
        <v>66</v>
      </c>
      <c r="T234" s="19"/>
      <c r="U234" s="19"/>
      <c r="V234" s="19"/>
      <c r="W234" s="19"/>
      <c r="X234" s="19"/>
      <c r="Y234" s="19"/>
      <c r="Z234" s="58">
        <f t="shared" si="40"/>
        <v>0.72</v>
      </c>
      <c r="AA234" s="58">
        <f t="shared" si="41"/>
        <v>0</v>
      </c>
      <c r="AB234" s="58">
        <f t="shared" si="42"/>
        <v>23.28</v>
      </c>
      <c r="AC234" s="58">
        <f t="shared" si="43"/>
        <v>51</v>
      </c>
      <c r="AD234" s="59">
        <f t="shared" si="44"/>
        <v>0.03</v>
      </c>
      <c r="AE234" s="59">
        <f t="shared" si="45"/>
        <v>1</v>
      </c>
      <c r="AF234" s="59">
        <f t="shared" si="46"/>
        <v>1</v>
      </c>
      <c r="AG234" s="59">
        <f t="shared" si="47"/>
        <v>0.68659127625201932</v>
      </c>
      <c r="AH234" s="59">
        <f t="shared" si="48"/>
        <v>0.68959999999999999</v>
      </c>
    </row>
    <row r="235" spans="1:35" ht="18" customHeight="1" x14ac:dyDescent="0.3">
      <c r="A235" s="56">
        <v>3233</v>
      </c>
      <c r="B235" s="23" t="s">
        <v>588</v>
      </c>
      <c r="C235" s="14">
        <v>1999</v>
      </c>
      <c r="D235" s="18" t="str">
        <f>VLOOKUP(A235, '전체 목록(n=66)'!C:F, 4, FALSE)</f>
        <v>미국</v>
      </c>
      <c r="E235" s="6">
        <v>75</v>
      </c>
      <c r="F235" s="6" t="s">
        <v>106</v>
      </c>
      <c r="G235" s="6">
        <v>24</v>
      </c>
      <c r="H235" s="6" t="s">
        <v>107</v>
      </c>
      <c r="I235" s="6">
        <v>51</v>
      </c>
      <c r="J235" s="6" t="s">
        <v>39</v>
      </c>
      <c r="K235" s="6" t="s">
        <v>273</v>
      </c>
      <c r="L235" s="19"/>
      <c r="M235" s="19"/>
      <c r="N235" s="19"/>
      <c r="O235" s="19"/>
      <c r="P235" s="19">
        <v>33</v>
      </c>
      <c r="Q235" s="19">
        <v>95</v>
      </c>
      <c r="R235" s="19">
        <v>85</v>
      </c>
      <c r="S235" s="19">
        <v>65</v>
      </c>
      <c r="T235" s="19"/>
      <c r="U235" s="19"/>
      <c r="V235" s="19"/>
      <c r="W235" s="19"/>
      <c r="X235" s="19"/>
      <c r="Y235" s="19"/>
      <c r="Z235" s="58">
        <f t="shared" si="40"/>
        <v>7.92</v>
      </c>
      <c r="AA235" s="58">
        <f t="shared" si="41"/>
        <v>2.5499999999999972</v>
      </c>
      <c r="AB235" s="58">
        <f t="shared" si="42"/>
        <v>16.079999999999998</v>
      </c>
      <c r="AC235" s="58">
        <f t="shared" si="43"/>
        <v>48.45</v>
      </c>
      <c r="AD235" s="59">
        <f t="shared" si="44"/>
        <v>0.33</v>
      </c>
      <c r="AE235" s="59">
        <f t="shared" si="45"/>
        <v>0.95000000000000007</v>
      </c>
      <c r="AF235" s="59">
        <f t="shared" si="46"/>
        <v>0.75644699140401161</v>
      </c>
      <c r="AG235" s="59">
        <f t="shared" si="47"/>
        <v>0.75081357508135749</v>
      </c>
      <c r="AH235" s="59">
        <f t="shared" si="48"/>
        <v>0.75160000000000005</v>
      </c>
    </row>
    <row r="236" spans="1:35" ht="18" customHeight="1" x14ac:dyDescent="0.3">
      <c r="A236" s="56">
        <v>3233</v>
      </c>
      <c r="B236" s="23" t="s">
        <v>588</v>
      </c>
      <c r="C236" s="14">
        <v>1999</v>
      </c>
      <c r="D236" s="18" t="str">
        <f>VLOOKUP(A236, '전체 목록(n=66)'!C:F, 4, FALSE)</f>
        <v>미국</v>
      </c>
      <c r="E236" s="6">
        <v>75</v>
      </c>
      <c r="F236" s="6" t="s">
        <v>106</v>
      </c>
      <c r="G236" s="6">
        <v>24</v>
      </c>
      <c r="H236" s="6" t="s">
        <v>107</v>
      </c>
      <c r="I236" s="6">
        <v>51</v>
      </c>
      <c r="J236" s="6" t="s">
        <v>51</v>
      </c>
      <c r="K236" s="6" t="s">
        <v>609</v>
      </c>
      <c r="L236" s="19"/>
      <c r="M236" s="19"/>
      <c r="N236" s="19"/>
      <c r="O236" s="19"/>
      <c r="P236" s="19">
        <v>30</v>
      </c>
      <c r="Q236" s="19">
        <v>100</v>
      </c>
      <c r="R236" s="19">
        <v>100</v>
      </c>
      <c r="S236" s="19">
        <v>65</v>
      </c>
      <c r="T236" s="19"/>
      <c r="U236" s="19"/>
      <c r="V236" s="19"/>
      <c r="W236" s="19"/>
      <c r="X236" s="19"/>
      <c r="Y236" s="19"/>
      <c r="Z236" s="58">
        <f t="shared" si="40"/>
        <v>7.2</v>
      </c>
      <c r="AA236" s="58">
        <f t="shared" si="41"/>
        <v>0</v>
      </c>
      <c r="AB236" s="58">
        <f t="shared" si="42"/>
        <v>16.8</v>
      </c>
      <c r="AC236" s="58">
        <f t="shared" si="43"/>
        <v>51</v>
      </c>
      <c r="AD236" s="59">
        <f t="shared" si="44"/>
        <v>0.3</v>
      </c>
      <c r="AE236" s="59">
        <f t="shared" si="45"/>
        <v>1</v>
      </c>
      <c r="AF236" s="59">
        <f t="shared" si="46"/>
        <v>1</v>
      </c>
      <c r="AG236" s="59">
        <f t="shared" si="47"/>
        <v>0.75221238938053103</v>
      </c>
      <c r="AH236" s="59">
        <f t="shared" si="48"/>
        <v>0.77600000000000002</v>
      </c>
    </row>
    <row r="237" spans="1:35" ht="18" customHeight="1" x14ac:dyDescent="0.3">
      <c r="A237" s="56">
        <v>3233</v>
      </c>
      <c r="B237" s="23" t="s">
        <v>588</v>
      </c>
      <c r="C237" s="14">
        <v>1999</v>
      </c>
      <c r="D237" s="18" t="str">
        <f>VLOOKUP(A237, '전체 목록(n=66)'!C:F, 4, FALSE)</f>
        <v>미국</v>
      </c>
      <c r="E237" s="6">
        <v>75</v>
      </c>
      <c r="F237" s="6" t="s">
        <v>106</v>
      </c>
      <c r="G237" s="6">
        <v>24</v>
      </c>
      <c r="H237" s="6" t="s">
        <v>107</v>
      </c>
      <c r="I237" s="6">
        <v>51</v>
      </c>
      <c r="J237" s="6" t="s">
        <v>95</v>
      </c>
      <c r="K237" s="6" t="s">
        <v>273</v>
      </c>
      <c r="L237" s="19"/>
      <c r="M237" s="19"/>
      <c r="N237" s="19"/>
      <c r="O237" s="19"/>
      <c r="P237" s="19">
        <v>33</v>
      </c>
      <c r="Q237" s="19">
        <v>100</v>
      </c>
      <c r="R237" s="19">
        <v>100</v>
      </c>
      <c r="S237" s="19">
        <v>66</v>
      </c>
      <c r="T237" s="19"/>
      <c r="U237" s="19"/>
      <c r="V237" s="19"/>
      <c r="W237" s="19"/>
      <c r="X237" s="19"/>
      <c r="Y237" s="19"/>
      <c r="Z237" s="58">
        <f t="shared" si="40"/>
        <v>7.92</v>
      </c>
      <c r="AA237" s="58">
        <f t="shared" si="41"/>
        <v>0</v>
      </c>
      <c r="AB237" s="58">
        <f t="shared" si="42"/>
        <v>16.079999999999998</v>
      </c>
      <c r="AC237" s="58">
        <f t="shared" si="43"/>
        <v>51</v>
      </c>
      <c r="AD237" s="59">
        <f t="shared" si="44"/>
        <v>0.33</v>
      </c>
      <c r="AE237" s="59">
        <f t="shared" si="45"/>
        <v>1</v>
      </c>
      <c r="AF237" s="59">
        <f t="shared" si="46"/>
        <v>1</v>
      </c>
      <c r="AG237" s="59">
        <f t="shared" si="47"/>
        <v>0.76028622540250446</v>
      </c>
      <c r="AH237" s="59">
        <f t="shared" si="48"/>
        <v>0.78560000000000008</v>
      </c>
    </row>
    <row r="238" spans="1:35" ht="18" customHeight="1" x14ac:dyDescent="0.3">
      <c r="A238" s="56">
        <v>3257</v>
      </c>
      <c r="B238" s="23" t="s">
        <v>589</v>
      </c>
      <c r="C238" s="14">
        <v>1999</v>
      </c>
      <c r="D238" s="18" t="str">
        <f>VLOOKUP(A238, '전체 목록(n=66)'!C:F, 4, FALSE)</f>
        <v>영국</v>
      </c>
      <c r="E238" s="6">
        <f t="shared" ref="E238:E253" si="50">G238+I238</f>
        <v>208</v>
      </c>
      <c r="F238" s="6" t="s">
        <v>106</v>
      </c>
      <c r="G238" s="6">
        <v>27</v>
      </c>
      <c r="H238" s="6" t="s">
        <v>107</v>
      </c>
      <c r="I238" s="6">
        <v>181</v>
      </c>
      <c r="J238" s="6" t="s">
        <v>39</v>
      </c>
      <c r="K238" s="6" t="s">
        <v>167</v>
      </c>
      <c r="L238" s="19"/>
      <c r="M238" s="19"/>
      <c r="N238" s="19">
        <v>16</v>
      </c>
      <c r="O238" s="19"/>
      <c r="P238" s="19">
        <v>33.299999999999997</v>
      </c>
      <c r="Q238" s="19">
        <v>79.7</v>
      </c>
      <c r="R238" s="19">
        <v>20.5</v>
      </c>
      <c r="S238" s="19">
        <v>88.4</v>
      </c>
      <c r="T238" s="19"/>
      <c r="U238" s="19"/>
      <c r="V238" s="19"/>
      <c r="W238" s="19"/>
      <c r="X238" s="19"/>
      <c r="Y238" s="19"/>
      <c r="Z238" s="58">
        <f t="shared" si="40"/>
        <v>8.9909999999999997</v>
      </c>
      <c r="AA238" s="58">
        <f t="shared" si="41"/>
        <v>36.742999999999995</v>
      </c>
      <c r="AB238" s="58">
        <f t="shared" si="42"/>
        <v>18.009</v>
      </c>
      <c r="AC238" s="58">
        <f t="shared" si="43"/>
        <v>144.25700000000001</v>
      </c>
      <c r="AD238" s="59">
        <f t="shared" si="44"/>
        <v>0.33299999999999996</v>
      </c>
      <c r="AE238" s="59">
        <f t="shared" si="45"/>
        <v>0.79700000000000004</v>
      </c>
      <c r="AF238" s="59">
        <f t="shared" si="46"/>
        <v>0.19659334412034812</v>
      </c>
      <c r="AG238" s="59">
        <f t="shared" si="47"/>
        <v>0.88901556703191054</v>
      </c>
      <c r="AH238" s="59">
        <f t="shared" si="48"/>
        <v>0.73676923076923073</v>
      </c>
    </row>
    <row r="239" spans="1:35" ht="18" customHeight="1" x14ac:dyDescent="0.3">
      <c r="A239" s="56">
        <v>3257</v>
      </c>
      <c r="B239" s="23" t="s">
        <v>589</v>
      </c>
      <c r="C239" s="14">
        <v>1999</v>
      </c>
      <c r="D239" s="18" t="str">
        <f>VLOOKUP(A239, '전체 목록(n=66)'!C:F, 4, FALSE)</f>
        <v>영국</v>
      </c>
      <c r="E239" s="6">
        <f t="shared" si="50"/>
        <v>208</v>
      </c>
      <c r="F239" s="6" t="s">
        <v>106</v>
      </c>
      <c r="G239" s="6">
        <v>27</v>
      </c>
      <c r="H239" s="6" t="s">
        <v>107</v>
      </c>
      <c r="I239" s="6">
        <v>181</v>
      </c>
      <c r="J239" s="6" t="s">
        <v>51</v>
      </c>
      <c r="K239" s="6" t="s">
        <v>167</v>
      </c>
      <c r="L239" s="19"/>
      <c r="M239" s="19"/>
      <c r="N239" s="19">
        <v>14</v>
      </c>
      <c r="O239" s="19"/>
      <c r="P239" s="19">
        <v>44</v>
      </c>
      <c r="Q239" s="19">
        <v>93.8</v>
      </c>
      <c r="R239" s="19">
        <v>52.4</v>
      </c>
      <c r="S239" s="19">
        <v>91.5</v>
      </c>
      <c r="T239" s="19"/>
      <c r="U239" s="19"/>
      <c r="V239" s="19"/>
      <c r="W239" s="19"/>
      <c r="X239" s="19"/>
      <c r="Y239" s="19"/>
      <c r="Z239" s="58">
        <f t="shared" si="40"/>
        <v>11.88</v>
      </c>
      <c r="AA239" s="58">
        <f t="shared" si="41"/>
        <v>11.222000000000008</v>
      </c>
      <c r="AB239" s="58">
        <f t="shared" si="42"/>
        <v>15.12</v>
      </c>
      <c r="AC239" s="58">
        <f t="shared" si="43"/>
        <v>169.77799999999999</v>
      </c>
      <c r="AD239" s="59">
        <f t="shared" si="44"/>
        <v>0.44</v>
      </c>
      <c r="AE239" s="59">
        <f t="shared" si="45"/>
        <v>0.93799999999999994</v>
      </c>
      <c r="AF239" s="59">
        <f t="shared" si="46"/>
        <v>0.51424119123885359</v>
      </c>
      <c r="AG239" s="59">
        <f t="shared" si="47"/>
        <v>0.9182251836147497</v>
      </c>
      <c r="AH239" s="59">
        <f t="shared" si="48"/>
        <v>0.87335576923076919</v>
      </c>
    </row>
    <row r="240" spans="1:35" ht="18" customHeight="1" x14ac:dyDescent="0.3">
      <c r="A240" s="56">
        <v>3257</v>
      </c>
      <c r="B240" s="23" t="s">
        <v>589</v>
      </c>
      <c r="C240" s="14">
        <v>1999</v>
      </c>
      <c r="D240" s="18" t="str">
        <f>VLOOKUP(A240, '전체 목록(n=66)'!C:F, 4, FALSE)</f>
        <v>영국</v>
      </c>
      <c r="E240" s="6">
        <f t="shared" si="50"/>
        <v>208</v>
      </c>
      <c r="F240" s="6" t="s">
        <v>106</v>
      </c>
      <c r="G240" s="6">
        <v>27</v>
      </c>
      <c r="H240" s="6" t="s">
        <v>107</v>
      </c>
      <c r="I240" s="6">
        <v>181</v>
      </c>
      <c r="J240" s="6" t="s">
        <v>39</v>
      </c>
      <c r="K240" s="6" t="s">
        <v>199</v>
      </c>
      <c r="L240" s="19"/>
      <c r="M240" s="19"/>
      <c r="N240" s="19">
        <v>11</v>
      </c>
      <c r="O240" s="19"/>
      <c r="P240" s="19">
        <v>50</v>
      </c>
      <c r="Q240" s="19">
        <v>76.8</v>
      </c>
      <c r="R240" s="19">
        <v>22.5</v>
      </c>
      <c r="S240" s="19">
        <v>92</v>
      </c>
      <c r="T240" s="19"/>
      <c r="U240" s="19"/>
      <c r="V240" s="19"/>
      <c r="W240" s="19"/>
      <c r="X240" s="19"/>
      <c r="Y240" s="19"/>
      <c r="Z240" s="58">
        <f t="shared" si="40"/>
        <v>13.5</v>
      </c>
      <c r="AA240" s="58">
        <f t="shared" si="41"/>
        <v>41.992000000000019</v>
      </c>
      <c r="AB240" s="58">
        <f t="shared" si="42"/>
        <v>13.5</v>
      </c>
      <c r="AC240" s="58">
        <f t="shared" si="43"/>
        <v>139.00799999999998</v>
      </c>
      <c r="AD240" s="59">
        <f t="shared" si="44"/>
        <v>0.5</v>
      </c>
      <c r="AE240" s="59">
        <f t="shared" si="45"/>
        <v>0.7679999999999999</v>
      </c>
      <c r="AF240" s="59">
        <f t="shared" si="46"/>
        <v>0.24327831038708275</v>
      </c>
      <c r="AG240" s="59">
        <f t="shared" si="47"/>
        <v>0.91148005350538985</v>
      </c>
      <c r="AH240" s="59">
        <f t="shared" si="48"/>
        <v>0.73321153846153841</v>
      </c>
    </row>
    <row r="241" spans="1:36" ht="18" customHeight="1" x14ac:dyDescent="0.3">
      <c r="A241" s="56">
        <v>3257</v>
      </c>
      <c r="B241" s="23" t="s">
        <v>589</v>
      </c>
      <c r="C241" s="14">
        <v>1999</v>
      </c>
      <c r="D241" s="18" t="str">
        <f>VLOOKUP(A241, '전체 목록(n=66)'!C:F, 4, FALSE)</f>
        <v>영국</v>
      </c>
      <c r="E241" s="6">
        <f t="shared" si="50"/>
        <v>208</v>
      </c>
      <c r="F241" s="6" t="s">
        <v>106</v>
      </c>
      <c r="G241" s="6">
        <v>27</v>
      </c>
      <c r="H241" s="6" t="s">
        <v>107</v>
      </c>
      <c r="I241" s="6">
        <v>181</v>
      </c>
      <c r="J241" s="6" t="s">
        <v>51</v>
      </c>
      <c r="K241" s="6" t="s">
        <v>199</v>
      </c>
      <c r="L241" s="19"/>
      <c r="M241" s="19"/>
      <c r="N241" s="19">
        <v>3</v>
      </c>
      <c r="O241" s="19"/>
      <c r="P241" s="19">
        <v>87</v>
      </c>
      <c r="Q241" s="19">
        <v>91</v>
      </c>
      <c r="R241" s="19">
        <v>57.1</v>
      </c>
      <c r="S241" s="19">
        <v>98.1</v>
      </c>
      <c r="T241" s="19"/>
      <c r="U241" s="19"/>
      <c r="V241" s="19"/>
      <c r="W241" s="19"/>
      <c r="X241" s="19"/>
      <c r="Y241" s="19"/>
      <c r="Z241" s="58">
        <f t="shared" si="40"/>
        <v>23.49</v>
      </c>
      <c r="AA241" s="58">
        <f t="shared" si="41"/>
        <v>16.289999999999992</v>
      </c>
      <c r="AB241" s="58">
        <f t="shared" si="42"/>
        <v>3.5100000000000016</v>
      </c>
      <c r="AC241" s="58">
        <f t="shared" si="43"/>
        <v>164.71</v>
      </c>
      <c r="AD241" s="59">
        <f t="shared" si="44"/>
        <v>0.87</v>
      </c>
      <c r="AE241" s="59">
        <f t="shared" si="45"/>
        <v>0.91</v>
      </c>
      <c r="AF241" s="59">
        <f t="shared" si="46"/>
        <v>0.59049773755656121</v>
      </c>
      <c r="AG241" s="59">
        <f t="shared" si="47"/>
        <v>0.97913446676970639</v>
      </c>
      <c r="AH241" s="59">
        <f t="shared" si="48"/>
        <v>0.90480769230769242</v>
      </c>
    </row>
    <row r="242" spans="1:36" ht="18" customHeight="1" x14ac:dyDescent="0.3">
      <c r="A242" s="56">
        <v>3257</v>
      </c>
      <c r="B242" s="23" t="s">
        <v>589</v>
      </c>
      <c r="C242" s="14">
        <v>1999</v>
      </c>
      <c r="D242" s="18" t="str">
        <f>VLOOKUP(A242, '전체 목록(n=66)'!C:F, 4, FALSE)</f>
        <v>영국</v>
      </c>
      <c r="E242" s="6">
        <f t="shared" si="50"/>
        <v>208</v>
      </c>
      <c r="F242" s="6" t="s">
        <v>106</v>
      </c>
      <c r="G242" s="6">
        <v>27</v>
      </c>
      <c r="H242" s="6" t="s">
        <v>107</v>
      </c>
      <c r="I242" s="6">
        <v>181</v>
      </c>
      <c r="J242" s="6" t="s">
        <v>39</v>
      </c>
      <c r="K242" s="6" t="s">
        <v>205</v>
      </c>
      <c r="L242" s="19"/>
      <c r="M242" s="19"/>
      <c r="N242" s="19">
        <v>10</v>
      </c>
      <c r="O242" s="19"/>
      <c r="P242" s="19">
        <v>58.3</v>
      </c>
      <c r="Q242" s="19">
        <v>77.8</v>
      </c>
      <c r="R242" s="19">
        <v>27.4</v>
      </c>
      <c r="S242" s="19">
        <v>92.9</v>
      </c>
      <c r="T242" s="19"/>
      <c r="U242" s="19"/>
      <c r="V242" s="19"/>
      <c r="W242" s="19"/>
      <c r="X242" s="19"/>
      <c r="Y242" s="19"/>
      <c r="Z242" s="58">
        <f t="shared" si="40"/>
        <v>15.741</v>
      </c>
      <c r="AA242" s="58">
        <f t="shared" si="41"/>
        <v>40.182000000000016</v>
      </c>
      <c r="AB242" s="58">
        <f t="shared" si="42"/>
        <v>11.259</v>
      </c>
      <c r="AC242" s="58">
        <f t="shared" si="43"/>
        <v>140.81799999999998</v>
      </c>
      <c r="AD242" s="59">
        <f t="shared" si="44"/>
        <v>0.58299999999999996</v>
      </c>
      <c r="AE242" s="59">
        <f t="shared" si="45"/>
        <v>0.77799999999999991</v>
      </c>
      <c r="AF242" s="59">
        <f t="shared" si="46"/>
        <v>0.28147631564830206</v>
      </c>
      <c r="AG242" s="59">
        <f t="shared" si="47"/>
        <v>0.92596513608237918</v>
      </c>
      <c r="AH242" s="59">
        <f t="shared" si="48"/>
        <v>0.75268749999999984</v>
      </c>
    </row>
    <row r="243" spans="1:36" ht="18" customHeight="1" x14ac:dyDescent="0.3">
      <c r="A243" s="56">
        <v>3257</v>
      </c>
      <c r="B243" s="23" t="s">
        <v>589</v>
      </c>
      <c r="C243" s="14">
        <v>1999</v>
      </c>
      <c r="D243" s="18" t="str">
        <f>VLOOKUP(A243, '전체 목록(n=66)'!C:F, 4, FALSE)</f>
        <v>영국</v>
      </c>
      <c r="E243" s="6">
        <f t="shared" si="50"/>
        <v>208</v>
      </c>
      <c r="F243" s="6" t="s">
        <v>106</v>
      </c>
      <c r="G243" s="6">
        <v>27</v>
      </c>
      <c r="H243" s="6" t="s">
        <v>107</v>
      </c>
      <c r="I243" s="6">
        <v>181</v>
      </c>
      <c r="J243" s="6" t="s">
        <v>51</v>
      </c>
      <c r="K243" s="6" t="s">
        <v>205</v>
      </c>
      <c r="L243" s="19"/>
      <c r="M243" s="19"/>
      <c r="N243" s="19">
        <v>3</v>
      </c>
      <c r="O243" s="19"/>
      <c r="P243" s="19">
        <v>88.9</v>
      </c>
      <c r="Q243" s="19">
        <v>91.3</v>
      </c>
      <c r="R243" s="19">
        <v>61.5</v>
      </c>
      <c r="S243" s="19">
        <v>98.1</v>
      </c>
      <c r="T243" s="19"/>
      <c r="U243" s="19"/>
      <c r="V243" s="19"/>
      <c r="W243" s="19"/>
      <c r="X243" s="19"/>
      <c r="Y243" s="19"/>
      <c r="Z243" s="58">
        <f t="shared" si="40"/>
        <v>24.003</v>
      </c>
      <c r="AA243" s="58">
        <f t="shared" si="41"/>
        <v>15.747000000000014</v>
      </c>
      <c r="AB243" s="58">
        <f t="shared" si="42"/>
        <v>2.9969999999999999</v>
      </c>
      <c r="AC243" s="58">
        <f t="shared" si="43"/>
        <v>165.25299999999999</v>
      </c>
      <c r="AD243" s="59">
        <f t="shared" si="44"/>
        <v>0.88900000000000001</v>
      </c>
      <c r="AE243" s="59">
        <f t="shared" si="45"/>
        <v>0.91299999999999992</v>
      </c>
      <c r="AF243" s="59">
        <f t="shared" si="46"/>
        <v>0.60384905660377342</v>
      </c>
      <c r="AG243" s="59">
        <f t="shared" si="47"/>
        <v>0.98218722139673098</v>
      </c>
      <c r="AH243" s="59">
        <f t="shared" si="48"/>
        <v>0.90988461538461529</v>
      </c>
    </row>
    <row r="244" spans="1:36" ht="18" customHeight="1" x14ac:dyDescent="0.3">
      <c r="A244" s="56">
        <v>3257</v>
      </c>
      <c r="B244" s="23" t="s">
        <v>589</v>
      </c>
      <c r="C244" s="14">
        <v>1999</v>
      </c>
      <c r="D244" s="18" t="str">
        <f>VLOOKUP(A244, '전체 목록(n=66)'!C:F, 4, FALSE)</f>
        <v>영국</v>
      </c>
      <c r="E244" s="6">
        <f t="shared" si="50"/>
        <v>208</v>
      </c>
      <c r="F244" s="6" t="s">
        <v>106</v>
      </c>
      <c r="G244" s="6">
        <v>27</v>
      </c>
      <c r="H244" s="6" t="s">
        <v>107</v>
      </c>
      <c r="I244" s="6">
        <v>181</v>
      </c>
      <c r="J244" s="6" t="s">
        <v>39</v>
      </c>
      <c r="K244" s="6" t="s">
        <v>207</v>
      </c>
      <c r="L244" s="19"/>
      <c r="M244" s="19"/>
      <c r="N244" s="19">
        <v>13</v>
      </c>
      <c r="O244" s="19"/>
      <c r="P244" s="19">
        <v>48</v>
      </c>
      <c r="Q244" s="19">
        <v>81.5</v>
      </c>
      <c r="R244" s="19">
        <v>29.3</v>
      </c>
      <c r="S244" s="19">
        <v>90.8</v>
      </c>
      <c r="T244" s="19"/>
      <c r="U244" s="19"/>
      <c r="V244" s="19"/>
      <c r="W244" s="19"/>
      <c r="X244" s="19"/>
      <c r="Y244" s="19"/>
      <c r="Z244" s="58">
        <f t="shared" si="40"/>
        <v>12.96</v>
      </c>
      <c r="AA244" s="58">
        <f t="shared" si="41"/>
        <v>33.485000000000014</v>
      </c>
      <c r="AB244" s="58">
        <f t="shared" si="42"/>
        <v>14.04</v>
      </c>
      <c r="AC244" s="58">
        <f t="shared" si="43"/>
        <v>147.51499999999999</v>
      </c>
      <c r="AD244" s="59">
        <f t="shared" si="44"/>
        <v>0.48000000000000004</v>
      </c>
      <c r="AE244" s="59">
        <f t="shared" si="45"/>
        <v>0.81499999999999995</v>
      </c>
      <c r="AF244" s="59">
        <f t="shared" si="46"/>
        <v>0.27903972440521041</v>
      </c>
      <c r="AG244" s="59">
        <f t="shared" si="47"/>
        <v>0.91309461174213125</v>
      </c>
      <c r="AH244" s="59">
        <f t="shared" si="48"/>
        <v>0.77151442307692308</v>
      </c>
    </row>
    <row r="245" spans="1:36" ht="18" customHeight="1" x14ac:dyDescent="0.3">
      <c r="A245" s="56">
        <v>3257</v>
      </c>
      <c r="B245" s="23" t="s">
        <v>589</v>
      </c>
      <c r="C245" s="14">
        <v>1999</v>
      </c>
      <c r="D245" s="18" t="str">
        <f>VLOOKUP(A245, '전체 목록(n=66)'!C:F, 4, FALSE)</f>
        <v>영국</v>
      </c>
      <c r="E245" s="6">
        <f t="shared" si="50"/>
        <v>208</v>
      </c>
      <c r="F245" s="6" t="s">
        <v>106</v>
      </c>
      <c r="G245" s="6">
        <v>27</v>
      </c>
      <c r="H245" s="6" t="s">
        <v>107</v>
      </c>
      <c r="I245" s="6">
        <v>181</v>
      </c>
      <c r="J245" s="6" t="s">
        <v>51</v>
      </c>
      <c r="K245" s="6" t="s">
        <v>207</v>
      </c>
      <c r="L245" s="19"/>
      <c r="M245" s="19"/>
      <c r="N245" s="19">
        <v>3</v>
      </c>
      <c r="O245" s="19"/>
      <c r="P245" s="19">
        <v>88.9</v>
      </c>
      <c r="Q245" s="19">
        <v>90.7</v>
      </c>
      <c r="R245" s="19">
        <v>61.5</v>
      </c>
      <c r="S245" s="19">
        <v>98</v>
      </c>
      <c r="T245" s="19"/>
      <c r="U245" s="19"/>
      <c r="V245" s="19"/>
      <c r="W245" s="19"/>
      <c r="X245" s="19"/>
      <c r="Y245" s="19"/>
      <c r="Z245" s="58">
        <f t="shared" si="40"/>
        <v>24.003</v>
      </c>
      <c r="AA245" s="58">
        <f t="shared" si="41"/>
        <v>16.832999999999998</v>
      </c>
      <c r="AB245" s="58">
        <f t="shared" si="42"/>
        <v>2.9969999999999999</v>
      </c>
      <c r="AC245" s="58">
        <f t="shared" si="43"/>
        <v>164.167</v>
      </c>
      <c r="AD245" s="59">
        <f t="shared" si="44"/>
        <v>0.88900000000000001</v>
      </c>
      <c r="AE245" s="59">
        <f t="shared" si="45"/>
        <v>0.90700000000000003</v>
      </c>
      <c r="AF245" s="59">
        <f t="shared" si="46"/>
        <v>0.58779018513076697</v>
      </c>
      <c r="AG245" s="59">
        <f t="shared" si="47"/>
        <v>0.98207149864803434</v>
      </c>
      <c r="AH245" s="59">
        <f t="shared" si="48"/>
        <v>0.90466346153846167</v>
      </c>
    </row>
    <row r="246" spans="1:36" ht="18" customHeight="1" x14ac:dyDescent="0.3">
      <c r="A246" s="56">
        <v>3257</v>
      </c>
      <c r="B246" s="23" t="s">
        <v>589</v>
      </c>
      <c r="C246" s="14">
        <v>1999</v>
      </c>
      <c r="D246" s="18" t="str">
        <f>VLOOKUP(A246, '전체 목록(n=66)'!C:F, 4, FALSE)</f>
        <v>영국</v>
      </c>
      <c r="E246" s="6">
        <f t="shared" si="50"/>
        <v>208</v>
      </c>
      <c r="F246" s="6" t="s">
        <v>106</v>
      </c>
      <c r="G246" s="6">
        <v>27</v>
      </c>
      <c r="H246" s="6" t="s">
        <v>107</v>
      </c>
      <c r="I246" s="6">
        <v>181</v>
      </c>
      <c r="J246" s="6" t="s">
        <v>39</v>
      </c>
      <c r="K246" s="6" t="s">
        <v>273</v>
      </c>
      <c r="L246" s="19"/>
      <c r="M246" s="19"/>
      <c r="N246" s="19">
        <v>14</v>
      </c>
      <c r="O246" s="19"/>
      <c r="P246" s="19">
        <v>39.1</v>
      </c>
      <c r="Q246" s="19">
        <v>81.400000000000006</v>
      </c>
      <c r="R246" s="19">
        <v>27.3</v>
      </c>
      <c r="S246" s="19">
        <v>88.2</v>
      </c>
      <c r="T246" s="19"/>
      <c r="U246" s="19"/>
      <c r="V246" s="19"/>
      <c r="W246" s="19"/>
      <c r="X246" s="19"/>
      <c r="Y246" s="19"/>
      <c r="Z246" s="58">
        <f t="shared" si="40"/>
        <v>10.557</v>
      </c>
      <c r="AA246" s="58">
        <f t="shared" si="41"/>
        <v>33.665999999999997</v>
      </c>
      <c r="AB246" s="58">
        <f t="shared" si="42"/>
        <v>16.442999999999998</v>
      </c>
      <c r="AC246" s="58">
        <f t="shared" si="43"/>
        <v>147.334</v>
      </c>
      <c r="AD246" s="59">
        <f t="shared" si="44"/>
        <v>0.39100000000000001</v>
      </c>
      <c r="AE246" s="59">
        <f t="shared" si="45"/>
        <v>0.81400000000000006</v>
      </c>
      <c r="AF246" s="59">
        <f t="shared" si="46"/>
        <v>0.23872193202632117</v>
      </c>
      <c r="AG246" s="59">
        <f t="shared" si="47"/>
        <v>0.89960128711601761</v>
      </c>
      <c r="AH246" s="59">
        <f t="shared" si="48"/>
        <v>0.7590913461538461</v>
      </c>
    </row>
    <row r="247" spans="1:36" ht="18" customHeight="1" x14ac:dyDescent="0.3">
      <c r="A247" s="56">
        <v>3257</v>
      </c>
      <c r="B247" s="23" t="s">
        <v>589</v>
      </c>
      <c r="C247" s="14">
        <v>1999</v>
      </c>
      <c r="D247" s="18" t="str">
        <f>VLOOKUP(A247, '전체 목록(n=66)'!C:F, 4, FALSE)</f>
        <v>영국</v>
      </c>
      <c r="E247" s="6">
        <f t="shared" si="50"/>
        <v>208</v>
      </c>
      <c r="F247" s="6" t="s">
        <v>106</v>
      </c>
      <c r="G247" s="6">
        <v>27</v>
      </c>
      <c r="H247" s="6" t="s">
        <v>107</v>
      </c>
      <c r="I247" s="6">
        <v>181</v>
      </c>
      <c r="J247" s="6" t="s">
        <v>51</v>
      </c>
      <c r="K247" s="6" t="s">
        <v>273</v>
      </c>
      <c r="L247" s="19"/>
      <c r="M247" s="19"/>
      <c r="N247" s="19">
        <v>3</v>
      </c>
      <c r="O247" s="19"/>
      <c r="P247" s="19">
        <v>88</v>
      </c>
      <c r="Q247" s="19">
        <v>90.4</v>
      </c>
      <c r="R247" s="19">
        <v>62.9</v>
      </c>
      <c r="S247" s="19">
        <v>97.6</v>
      </c>
      <c r="T247" s="19"/>
      <c r="U247" s="19"/>
      <c r="V247" s="19"/>
      <c r="W247" s="19"/>
      <c r="X247" s="19"/>
      <c r="Y247" s="19"/>
      <c r="Z247" s="58">
        <f t="shared" si="40"/>
        <v>23.76</v>
      </c>
      <c r="AA247" s="58">
        <f t="shared" si="41"/>
        <v>17.375999999999976</v>
      </c>
      <c r="AB247" s="58">
        <f t="shared" si="42"/>
        <v>3.2399999999999984</v>
      </c>
      <c r="AC247" s="58">
        <f t="shared" si="43"/>
        <v>163.62400000000002</v>
      </c>
      <c r="AD247" s="59">
        <f t="shared" si="44"/>
        <v>0.88</v>
      </c>
      <c r="AE247" s="59">
        <f t="shared" si="45"/>
        <v>0.90400000000000014</v>
      </c>
      <c r="AF247" s="59">
        <f t="shared" si="46"/>
        <v>0.577596266044341</v>
      </c>
      <c r="AG247" s="59">
        <f t="shared" si="47"/>
        <v>0.98058298974014757</v>
      </c>
      <c r="AH247" s="59">
        <f t="shared" si="48"/>
        <v>0.90088461538461551</v>
      </c>
    </row>
    <row r="248" spans="1:36" ht="18" customHeight="1" x14ac:dyDescent="0.3">
      <c r="A248" s="74">
        <v>3337</v>
      </c>
      <c r="B248" s="72" t="s">
        <v>590</v>
      </c>
      <c r="C248" s="86">
        <v>1999</v>
      </c>
      <c r="D248" s="87" t="str">
        <f>VLOOKUP(A248, '전체 목록(n=66)'!C:F, 4, FALSE)</f>
        <v>이탈리아</v>
      </c>
      <c r="E248" s="39">
        <f t="shared" si="50"/>
        <v>96</v>
      </c>
      <c r="F248" s="39" t="s">
        <v>214</v>
      </c>
      <c r="G248" s="39">
        <v>26</v>
      </c>
      <c r="H248" s="39" t="s">
        <v>98</v>
      </c>
      <c r="I248" s="39">
        <v>70</v>
      </c>
      <c r="J248" s="39" t="s">
        <v>39</v>
      </c>
      <c r="K248" s="39" t="s">
        <v>130</v>
      </c>
      <c r="L248" s="73"/>
      <c r="M248" s="73"/>
      <c r="N248" s="73"/>
      <c r="O248" s="73"/>
      <c r="P248" s="73">
        <v>69</v>
      </c>
      <c r="Q248" s="88">
        <v>46</v>
      </c>
      <c r="R248" s="73"/>
      <c r="S248" s="73"/>
      <c r="T248" s="73"/>
      <c r="U248" s="19"/>
      <c r="V248" s="19"/>
      <c r="W248" s="19"/>
      <c r="X248" s="19"/>
      <c r="Y248" s="19"/>
      <c r="Z248" s="58">
        <f t="shared" si="40"/>
        <v>17.940000000000001</v>
      </c>
      <c r="AA248" s="58">
        <f t="shared" si="41"/>
        <v>37.799999999999997</v>
      </c>
      <c r="AB248" s="58">
        <f t="shared" si="42"/>
        <v>8.0599999999999987</v>
      </c>
      <c r="AC248" s="58">
        <f t="shared" si="43"/>
        <v>32.200000000000003</v>
      </c>
      <c r="AD248" s="59">
        <f t="shared" si="44"/>
        <v>0.69000000000000006</v>
      </c>
      <c r="AE248" s="59">
        <f t="shared" si="45"/>
        <v>0.46</v>
      </c>
      <c r="AF248" s="59">
        <f t="shared" si="46"/>
        <v>0.32185145317545755</v>
      </c>
      <c r="AG248" s="59">
        <f t="shared" si="47"/>
        <v>0.79980129160457025</v>
      </c>
      <c r="AH248" s="59">
        <f t="shared" si="48"/>
        <v>0.52229166666666671</v>
      </c>
    </row>
    <row r="249" spans="1:36" ht="18" customHeight="1" x14ac:dyDescent="0.3">
      <c r="A249" s="74">
        <v>3337</v>
      </c>
      <c r="B249" s="72" t="s">
        <v>590</v>
      </c>
      <c r="C249" s="86">
        <v>1999</v>
      </c>
      <c r="D249" s="87" t="str">
        <f>VLOOKUP(A249, '전체 목록(n=66)'!C:F, 4, FALSE)</f>
        <v>이탈리아</v>
      </c>
      <c r="E249" s="39">
        <f t="shared" si="50"/>
        <v>100</v>
      </c>
      <c r="F249" s="39" t="s">
        <v>214</v>
      </c>
      <c r="G249" s="39">
        <v>28</v>
      </c>
      <c r="H249" s="39" t="s">
        <v>98</v>
      </c>
      <c r="I249" s="39">
        <v>72</v>
      </c>
      <c r="J249" s="39" t="s">
        <v>174</v>
      </c>
      <c r="K249" s="39" t="s">
        <v>130</v>
      </c>
      <c r="L249" s="73"/>
      <c r="M249" s="73"/>
      <c r="N249" s="73"/>
      <c r="O249" s="73"/>
      <c r="P249" s="73">
        <v>54</v>
      </c>
      <c r="Q249" s="88">
        <v>90</v>
      </c>
      <c r="R249" s="73"/>
      <c r="S249" s="73"/>
      <c r="T249" s="73"/>
      <c r="U249" s="19"/>
      <c r="V249" s="19"/>
      <c r="W249" s="19"/>
      <c r="X249" s="19"/>
      <c r="Y249" s="19"/>
      <c r="Z249" s="58">
        <f t="shared" si="40"/>
        <v>15.12</v>
      </c>
      <c r="AA249" s="58">
        <f t="shared" si="41"/>
        <v>7.2000000000000028</v>
      </c>
      <c r="AB249" s="58">
        <f t="shared" si="42"/>
        <v>12.88</v>
      </c>
      <c r="AC249" s="58">
        <f t="shared" si="43"/>
        <v>64.8</v>
      </c>
      <c r="AD249" s="59">
        <f t="shared" si="44"/>
        <v>0.53999999999999992</v>
      </c>
      <c r="AE249" s="59">
        <f t="shared" si="45"/>
        <v>0.89999999999999991</v>
      </c>
      <c r="AF249" s="59">
        <f t="shared" si="46"/>
        <v>0.67741935483870963</v>
      </c>
      <c r="AG249" s="59">
        <f t="shared" si="47"/>
        <v>0.83419155509783738</v>
      </c>
      <c r="AH249" s="59">
        <f t="shared" si="48"/>
        <v>0.79920000000000002</v>
      </c>
    </row>
    <row r="250" spans="1:36" ht="18" customHeight="1" x14ac:dyDescent="0.3">
      <c r="A250" s="74">
        <v>3337</v>
      </c>
      <c r="B250" s="72" t="s">
        <v>590</v>
      </c>
      <c r="C250" s="86">
        <v>1999</v>
      </c>
      <c r="D250" s="87" t="str">
        <f>VLOOKUP(A250, '전체 목록(n=66)'!C:F, 4, FALSE)</f>
        <v>이탈리아</v>
      </c>
      <c r="E250" s="39">
        <f t="shared" si="50"/>
        <v>102</v>
      </c>
      <c r="F250" s="39" t="s">
        <v>214</v>
      </c>
      <c r="G250" s="39">
        <v>29</v>
      </c>
      <c r="H250" s="39" t="s">
        <v>98</v>
      </c>
      <c r="I250" s="39">
        <v>73</v>
      </c>
      <c r="J250" s="39" t="s">
        <v>39</v>
      </c>
      <c r="K250" s="39" t="s">
        <v>165</v>
      </c>
      <c r="L250" s="73"/>
      <c r="M250" s="73"/>
      <c r="N250" s="73"/>
      <c r="O250" s="73"/>
      <c r="P250" s="73">
        <v>100</v>
      </c>
      <c r="Q250" s="88">
        <v>46</v>
      </c>
      <c r="R250" s="73"/>
      <c r="S250" s="73"/>
      <c r="T250" s="73"/>
      <c r="U250" s="19"/>
      <c r="V250" s="19"/>
      <c r="W250" s="19"/>
      <c r="X250" s="19"/>
      <c r="Y250" s="19"/>
      <c r="Z250" s="58">
        <f t="shared" si="40"/>
        <v>29</v>
      </c>
      <c r="AA250" s="58">
        <f t="shared" si="41"/>
        <v>39.42</v>
      </c>
      <c r="AB250" s="58">
        <f t="shared" si="42"/>
        <v>0</v>
      </c>
      <c r="AC250" s="58">
        <f t="shared" si="43"/>
        <v>33.58</v>
      </c>
      <c r="AD250" s="59">
        <f t="shared" si="44"/>
        <v>1</v>
      </c>
      <c r="AE250" s="59">
        <f t="shared" si="45"/>
        <v>0.45999999999999996</v>
      </c>
      <c r="AF250" s="59">
        <f t="shared" si="46"/>
        <v>0.42385267465653315</v>
      </c>
      <c r="AG250" s="59">
        <f t="shared" si="47"/>
        <v>1</v>
      </c>
      <c r="AH250" s="59">
        <f t="shared" si="48"/>
        <v>0.61352941176470588</v>
      </c>
    </row>
    <row r="251" spans="1:36" ht="18" customHeight="1" x14ac:dyDescent="0.3">
      <c r="A251" s="74">
        <v>3337</v>
      </c>
      <c r="B251" s="72" t="s">
        <v>590</v>
      </c>
      <c r="C251" s="86">
        <v>1999</v>
      </c>
      <c r="D251" s="87" t="str">
        <f>VLOOKUP(A251, '전체 목록(n=66)'!C:F, 4, FALSE)</f>
        <v>이탈리아</v>
      </c>
      <c r="E251" s="39">
        <f t="shared" si="50"/>
        <v>106</v>
      </c>
      <c r="F251" s="39" t="s">
        <v>214</v>
      </c>
      <c r="G251" s="39">
        <v>31</v>
      </c>
      <c r="H251" s="39" t="s">
        <v>98</v>
      </c>
      <c r="I251" s="39">
        <v>75</v>
      </c>
      <c r="J251" s="39" t="s">
        <v>174</v>
      </c>
      <c r="K251" s="39" t="s">
        <v>165</v>
      </c>
      <c r="L251" s="73"/>
      <c r="M251" s="73"/>
      <c r="N251" s="73"/>
      <c r="O251" s="73"/>
      <c r="P251" s="73">
        <v>81</v>
      </c>
      <c r="Q251" s="88">
        <v>90</v>
      </c>
      <c r="R251" s="73"/>
      <c r="S251" s="73"/>
      <c r="T251" s="73"/>
      <c r="U251" s="19"/>
      <c r="V251" s="19"/>
      <c r="W251" s="19"/>
      <c r="X251" s="19"/>
      <c r="Y251" s="19"/>
      <c r="Z251" s="58">
        <f t="shared" si="40"/>
        <v>25.11</v>
      </c>
      <c r="AA251" s="58">
        <f t="shared" si="41"/>
        <v>7.5</v>
      </c>
      <c r="AB251" s="58">
        <f t="shared" si="42"/>
        <v>5.8900000000000006</v>
      </c>
      <c r="AC251" s="58">
        <f t="shared" si="43"/>
        <v>67.5</v>
      </c>
      <c r="AD251" s="59">
        <f t="shared" si="44"/>
        <v>0.80999999999999994</v>
      </c>
      <c r="AE251" s="59">
        <f t="shared" si="45"/>
        <v>0.9</v>
      </c>
      <c r="AF251" s="59">
        <f t="shared" si="46"/>
        <v>0.77000919963201475</v>
      </c>
      <c r="AG251" s="59">
        <f t="shared" si="47"/>
        <v>0.91974383430985152</v>
      </c>
      <c r="AH251" s="59">
        <f t="shared" si="48"/>
        <v>0.87367924528301888</v>
      </c>
      <c r="AI251" s="19"/>
      <c r="AJ251" s="19"/>
    </row>
    <row r="252" spans="1:36" ht="18" customHeight="1" x14ac:dyDescent="0.3">
      <c r="A252" s="74">
        <v>3337</v>
      </c>
      <c r="B252" s="72" t="s">
        <v>590</v>
      </c>
      <c r="C252" s="86">
        <v>1999</v>
      </c>
      <c r="D252" s="87" t="str">
        <f>VLOOKUP(A252, '전체 목록(n=66)'!C:F, 4, FALSE)</f>
        <v>이탈리아</v>
      </c>
      <c r="E252" s="39">
        <f t="shared" si="50"/>
        <v>108</v>
      </c>
      <c r="F252" s="39" t="s">
        <v>214</v>
      </c>
      <c r="G252" s="39">
        <v>32</v>
      </c>
      <c r="H252" s="39" t="s">
        <v>98</v>
      </c>
      <c r="I252" s="39">
        <v>76</v>
      </c>
      <c r="J252" s="39" t="s">
        <v>39</v>
      </c>
      <c r="K252" s="39" t="s">
        <v>166</v>
      </c>
      <c r="L252" s="73"/>
      <c r="M252" s="73"/>
      <c r="N252" s="73"/>
      <c r="O252" s="73"/>
      <c r="P252" s="73">
        <v>100</v>
      </c>
      <c r="Q252" s="88">
        <v>46</v>
      </c>
      <c r="R252" s="73"/>
      <c r="S252" s="73"/>
      <c r="T252" s="73"/>
      <c r="U252" s="19"/>
      <c r="V252" s="19"/>
      <c r="W252" s="19"/>
      <c r="X252" s="19"/>
      <c r="Y252" s="19"/>
      <c r="Z252" s="58">
        <f t="shared" si="40"/>
        <v>32</v>
      </c>
      <c r="AA252" s="58">
        <f t="shared" si="41"/>
        <v>41.04</v>
      </c>
      <c r="AB252" s="58">
        <f t="shared" si="42"/>
        <v>0</v>
      </c>
      <c r="AC252" s="58">
        <f t="shared" si="43"/>
        <v>34.96</v>
      </c>
      <c r="AD252" s="59">
        <f t="shared" si="44"/>
        <v>1</v>
      </c>
      <c r="AE252" s="59">
        <f t="shared" si="45"/>
        <v>0.46</v>
      </c>
      <c r="AF252" s="59">
        <f t="shared" si="46"/>
        <v>0.43811610076670321</v>
      </c>
      <c r="AG252" s="59">
        <f t="shared" si="47"/>
        <v>1</v>
      </c>
      <c r="AH252" s="59">
        <f t="shared" si="48"/>
        <v>0.62000000000000011</v>
      </c>
      <c r="AI252" s="19"/>
      <c r="AJ252" s="19"/>
    </row>
    <row r="253" spans="1:36" ht="18" customHeight="1" x14ac:dyDescent="0.3">
      <c r="A253" s="74">
        <v>3337</v>
      </c>
      <c r="B253" s="72" t="s">
        <v>590</v>
      </c>
      <c r="C253" s="86">
        <v>1999</v>
      </c>
      <c r="D253" s="87" t="str">
        <f>VLOOKUP(A253, '전체 목록(n=66)'!C:F, 4, FALSE)</f>
        <v>이탈리아</v>
      </c>
      <c r="E253" s="39">
        <f t="shared" si="50"/>
        <v>112</v>
      </c>
      <c r="F253" s="39" t="s">
        <v>214</v>
      </c>
      <c r="G253" s="39">
        <v>34</v>
      </c>
      <c r="H253" s="39" t="s">
        <v>98</v>
      </c>
      <c r="I253" s="39">
        <v>78</v>
      </c>
      <c r="J253" s="39" t="s">
        <v>174</v>
      </c>
      <c r="K253" s="39" t="s">
        <v>166</v>
      </c>
      <c r="L253" s="73"/>
      <c r="M253" s="73"/>
      <c r="N253" s="73"/>
      <c r="O253" s="73"/>
      <c r="P253" s="73">
        <v>100</v>
      </c>
      <c r="Q253" s="88">
        <v>90</v>
      </c>
      <c r="R253" s="73"/>
      <c r="S253" s="73"/>
      <c r="T253" s="73"/>
      <c r="U253" s="19"/>
      <c r="V253" s="19"/>
      <c r="W253" s="19"/>
      <c r="X253" s="19"/>
      <c r="Y253" s="19"/>
      <c r="Z253" s="58">
        <f t="shared" si="40"/>
        <v>34</v>
      </c>
      <c r="AA253" s="58">
        <f t="shared" si="41"/>
        <v>7.7999999999999972</v>
      </c>
      <c r="AB253" s="58">
        <f t="shared" si="42"/>
        <v>0</v>
      </c>
      <c r="AC253" s="58">
        <f t="shared" si="43"/>
        <v>70.2</v>
      </c>
      <c r="AD253" s="59">
        <f t="shared" si="44"/>
        <v>1</v>
      </c>
      <c r="AE253" s="59">
        <f t="shared" si="45"/>
        <v>0.9</v>
      </c>
      <c r="AF253" s="59">
        <f t="shared" si="46"/>
        <v>0.8133971291866029</v>
      </c>
      <c r="AG253" s="59">
        <f t="shared" si="47"/>
        <v>1</v>
      </c>
      <c r="AH253" s="59">
        <f t="shared" si="48"/>
        <v>0.93035714285714288</v>
      </c>
      <c r="AI253" s="19"/>
      <c r="AJ253" s="19"/>
    </row>
    <row r="254" spans="1:36" ht="18" customHeight="1" x14ac:dyDescent="0.3">
      <c r="A254" s="56">
        <v>3346</v>
      </c>
      <c r="B254" s="23" t="s">
        <v>591</v>
      </c>
      <c r="C254" s="14">
        <v>1999</v>
      </c>
      <c r="D254" s="18" t="str">
        <f>VLOOKUP(A254, '전체 목록(n=66)'!C:F, 4, FALSE)</f>
        <v>미국</v>
      </c>
      <c r="E254" s="6">
        <v>192</v>
      </c>
      <c r="F254" s="6" t="s">
        <v>106</v>
      </c>
      <c r="G254" s="6">
        <v>59</v>
      </c>
      <c r="H254" s="6" t="s">
        <v>107</v>
      </c>
      <c r="I254" s="6">
        <f t="shared" ref="I254:I261" si="51">192-59</f>
        <v>133</v>
      </c>
      <c r="J254" s="6" t="s">
        <v>39</v>
      </c>
      <c r="K254" s="6" t="s">
        <v>175</v>
      </c>
      <c r="L254" s="19"/>
      <c r="M254" s="19"/>
      <c r="N254" s="19"/>
      <c r="O254" s="19"/>
      <c r="P254" s="19">
        <v>75</v>
      </c>
      <c r="Q254" s="19">
        <v>74.2</v>
      </c>
      <c r="R254" s="19"/>
      <c r="S254" s="19"/>
      <c r="T254" s="19"/>
      <c r="U254" s="19"/>
      <c r="V254" s="19"/>
      <c r="W254" s="19"/>
      <c r="X254" s="19"/>
      <c r="Y254" s="19">
        <v>0.81899999999999995</v>
      </c>
      <c r="Z254" s="58">
        <f t="shared" si="40"/>
        <v>44.25</v>
      </c>
      <c r="AA254" s="58">
        <f t="shared" si="41"/>
        <v>34.313999999999993</v>
      </c>
      <c r="AB254" s="58">
        <f t="shared" si="42"/>
        <v>14.75</v>
      </c>
      <c r="AC254" s="58">
        <f t="shared" si="43"/>
        <v>98.686000000000007</v>
      </c>
      <c r="AD254" s="59">
        <f t="shared" si="44"/>
        <v>0.75</v>
      </c>
      <c r="AE254" s="59">
        <f t="shared" si="45"/>
        <v>0.7420000000000001</v>
      </c>
      <c r="AF254" s="59">
        <f t="shared" si="46"/>
        <v>0.56323506949747981</v>
      </c>
      <c r="AG254" s="59">
        <f t="shared" si="47"/>
        <v>0.86997073239535949</v>
      </c>
      <c r="AH254" s="59">
        <f t="shared" si="48"/>
        <v>0.74445833333333333</v>
      </c>
      <c r="AI254" s="19"/>
      <c r="AJ254" s="19"/>
    </row>
    <row r="255" spans="1:36" ht="18" customHeight="1" x14ac:dyDescent="0.3">
      <c r="A255" s="56">
        <v>3346</v>
      </c>
      <c r="B255" s="23" t="s">
        <v>591</v>
      </c>
      <c r="C255" s="14">
        <v>1999</v>
      </c>
      <c r="D255" s="18" t="str">
        <f>VLOOKUP(A255, '전체 목록(n=66)'!C:F, 4, FALSE)</f>
        <v>미국</v>
      </c>
      <c r="E255" s="6">
        <v>192</v>
      </c>
      <c r="F255" s="6" t="s">
        <v>106</v>
      </c>
      <c r="G255" s="6">
        <v>59</v>
      </c>
      <c r="H255" s="6" t="s">
        <v>107</v>
      </c>
      <c r="I255" s="6">
        <f t="shared" si="51"/>
        <v>133</v>
      </c>
      <c r="J255" s="6" t="s">
        <v>51</v>
      </c>
      <c r="K255" s="6" t="s">
        <v>175</v>
      </c>
      <c r="L255" s="19"/>
      <c r="M255" s="19"/>
      <c r="N255" s="19"/>
      <c r="O255" s="19"/>
      <c r="P255" s="19">
        <v>65</v>
      </c>
      <c r="Q255" s="19">
        <v>100</v>
      </c>
      <c r="R255" s="19"/>
      <c r="S255" s="19"/>
      <c r="T255" s="19"/>
      <c r="U255" s="19"/>
      <c r="V255" s="19"/>
      <c r="W255" s="19"/>
      <c r="X255" s="19"/>
      <c r="Y255" s="19">
        <v>0.96099999999999997</v>
      </c>
      <c r="Z255" s="58">
        <f t="shared" si="40"/>
        <v>38.35</v>
      </c>
      <c r="AA255" s="58">
        <f t="shared" si="41"/>
        <v>0</v>
      </c>
      <c r="AB255" s="58">
        <f t="shared" si="42"/>
        <v>20.65</v>
      </c>
      <c r="AC255" s="58">
        <f t="shared" si="43"/>
        <v>133</v>
      </c>
      <c r="AD255" s="59">
        <f t="shared" si="44"/>
        <v>0.65</v>
      </c>
      <c r="AE255" s="59">
        <f t="shared" si="45"/>
        <v>1</v>
      </c>
      <c r="AF255" s="59">
        <f t="shared" si="46"/>
        <v>1</v>
      </c>
      <c r="AG255" s="59">
        <f t="shared" si="47"/>
        <v>0.86560364464692485</v>
      </c>
      <c r="AH255" s="59">
        <f t="shared" si="48"/>
        <v>0.89244791666666667</v>
      </c>
      <c r="AI255" s="19"/>
      <c r="AJ255" s="19"/>
    </row>
    <row r="256" spans="1:36" ht="18" customHeight="1" x14ac:dyDescent="0.3">
      <c r="A256" s="56">
        <v>3346</v>
      </c>
      <c r="B256" s="23" t="s">
        <v>591</v>
      </c>
      <c r="C256" s="14">
        <v>1999</v>
      </c>
      <c r="D256" s="18" t="str">
        <f>VLOOKUP(A256, '전체 목록(n=66)'!C:F, 4, FALSE)</f>
        <v>미국</v>
      </c>
      <c r="E256" s="6">
        <v>192</v>
      </c>
      <c r="F256" s="6" t="s">
        <v>106</v>
      </c>
      <c r="G256" s="6">
        <v>59</v>
      </c>
      <c r="H256" s="6" t="s">
        <v>107</v>
      </c>
      <c r="I256" s="6">
        <f t="shared" si="51"/>
        <v>133</v>
      </c>
      <c r="J256" s="6" t="s">
        <v>39</v>
      </c>
      <c r="K256" s="6" t="s">
        <v>90</v>
      </c>
      <c r="L256" s="19"/>
      <c r="M256" s="19"/>
      <c r="N256" s="19"/>
      <c r="O256" s="19"/>
      <c r="P256" s="19">
        <v>75</v>
      </c>
      <c r="Q256" s="19">
        <v>81.8</v>
      </c>
      <c r="R256" s="19"/>
      <c r="S256" s="19"/>
      <c r="T256" s="19"/>
      <c r="U256" s="19"/>
      <c r="V256" s="19"/>
      <c r="W256" s="19"/>
      <c r="X256" s="19"/>
      <c r="Y256" s="19"/>
      <c r="Z256" s="58">
        <f t="shared" si="40"/>
        <v>44.25</v>
      </c>
      <c r="AA256" s="58">
        <f t="shared" si="41"/>
        <v>24.206000000000003</v>
      </c>
      <c r="AB256" s="58">
        <f t="shared" si="42"/>
        <v>14.75</v>
      </c>
      <c r="AC256" s="58">
        <f t="shared" si="43"/>
        <v>108.794</v>
      </c>
      <c r="AD256" s="59">
        <f t="shared" ref="AD256:AD319" si="52">Z256/(Z256+AB256)</f>
        <v>0.75</v>
      </c>
      <c r="AE256" s="59">
        <f t="shared" ref="AE256:AE319" si="53">AC256/(AA256+AC256)</f>
        <v>0.81799999999999995</v>
      </c>
      <c r="AF256" s="59">
        <f t="shared" ref="AF256:AF319" si="54">Z256/(Z256+AA256)</f>
        <v>0.64640060768961083</v>
      </c>
      <c r="AG256" s="59">
        <f t="shared" ref="AG256:AG319" si="55">AC256/(AB256+AC256)</f>
        <v>0.88060933756394477</v>
      </c>
      <c r="AH256" s="59">
        <f t="shared" ref="AH256:AH319" si="56">(Z256+AC256)/(Z256+AA256+AB256+AC256)</f>
        <v>0.79710416666666661</v>
      </c>
      <c r="AI256" s="19"/>
      <c r="AJ256" s="19"/>
    </row>
    <row r="257" spans="1:36" ht="18" customHeight="1" x14ac:dyDescent="0.3">
      <c r="A257" s="56">
        <v>3346</v>
      </c>
      <c r="B257" s="23" t="s">
        <v>591</v>
      </c>
      <c r="C257" s="14">
        <v>1999</v>
      </c>
      <c r="D257" s="18" t="str">
        <f>VLOOKUP(A257, '전체 목록(n=66)'!C:F, 4, FALSE)</f>
        <v>미국</v>
      </c>
      <c r="E257" s="6">
        <v>192</v>
      </c>
      <c r="F257" s="6" t="s">
        <v>106</v>
      </c>
      <c r="G257" s="6">
        <v>59</v>
      </c>
      <c r="H257" s="6" t="s">
        <v>107</v>
      </c>
      <c r="I257" s="6">
        <f t="shared" si="51"/>
        <v>133</v>
      </c>
      <c r="J257" s="6" t="s">
        <v>51</v>
      </c>
      <c r="K257" s="6" t="s">
        <v>90</v>
      </c>
      <c r="L257" s="19"/>
      <c r="M257" s="19"/>
      <c r="N257" s="19"/>
      <c r="O257" s="19"/>
      <c r="P257" s="19">
        <v>71.900000000000006</v>
      </c>
      <c r="Q257" s="19">
        <v>97</v>
      </c>
      <c r="R257" s="19"/>
      <c r="S257" s="19"/>
      <c r="T257" s="19"/>
      <c r="U257" s="19"/>
      <c r="V257" s="19"/>
      <c r="W257" s="19"/>
      <c r="X257" s="19"/>
      <c r="Y257" s="19"/>
      <c r="Z257" s="58">
        <f t="shared" si="40"/>
        <v>42.421000000000006</v>
      </c>
      <c r="AA257" s="58">
        <f t="shared" si="41"/>
        <v>3.9900000000000091</v>
      </c>
      <c r="AB257" s="58">
        <f t="shared" si="42"/>
        <v>16.578999999999994</v>
      </c>
      <c r="AC257" s="58">
        <f t="shared" si="43"/>
        <v>129.01</v>
      </c>
      <c r="AD257" s="59">
        <f t="shared" si="52"/>
        <v>0.71900000000000008</v>
      </c>
      <c r="AE257" s="59">
        <f t="shared" si="53"/>
        <v>0.97</v>
      </c>
      <c r="AF257" s="59">
        <f t="shared" si="54"/>
        <v>0.91402900174527568</v>
      </c>
      <c r="AG257" s="59">
        <f t="shared" si="55"/>
        <v>0.8861246385372521</v>
      </c>
      <c r="AH257" s="59">
        <f t="shared" si="56"/>
        <v>0.89286979166666658</v>
      </c>
      <c r="AI257" s="19"/>
      <c r="AJ257" s="19"/>
    </row>
    <row r="258" spans="1:36" ht="18" customHeight="1" x14ac:dyDescent="0.3">
      <c r="A258" s="56">
        <v>3346</v>
      </c>
      <c r="B258" s="23" t="s">
        <v>591</v>
      </c>
      <c r="C258" s="14">
        <v>1999</v>
      </c>
      <c r="D258" s="18" t="str">
        <f>VLOOKUP(A258, '전체 목록(n=66)'!C:F, 4, FALSE)</f>
        <v>미국</v>
      </c>
      <c r="E258" s="6">
        <v>192</v>
      </c>
      <c r="F258" s="6" t="s">
        <v>106</v>
      </c>
      <c r="G258" s="6">
        <v>59</v>
      </c>
      <c r="H258" s="6" t="s">
        <v>107</v>
      </c>
      <c r="I258" s="6">
        <f t="shared" si="51"/>
        <v>133</v>
      </c>
      <c r="J258" s="6" t="s">
        <v>39</v>
      </c>
      <c r="K258" s="6" t="s">
        <v>91</v>
      </c>
      <c r="L258" s="19"/>
      <c r="M258" s="19"/>
      <c r="N258" s="19"/>
      <c r="O258" s="19"/>
      <c r="P258" s="19">
        <v>72.7</v>
      </c>
      <c r="Q258" s="19">
        <v>67.8</v>
      </c>
      <c r="R258" s="19"/>
      <c r="S258" s="19"/>
      <c r="T258" s="19"/>
      <c r="U258" s="19"/>
      <c r="V258" s="19"/>
      <c r="W258" s="19"/>
      <c r="X258" s="19"/>
      <c r="Y258" s="19"/>
      <c r="Z258" s="58">
        <f t="shared" si="40"/>
        <v>42.893000000000001</v>
      </c>
      <c r="AA258" s="58">
        <f t="shared" si="41"/>
        <v>42.826000000000008</v>
      </c>
      <c r="AB258" s="58">
        <f t="shared" si="42"/>
        <v>16.106999999999999</v>
      </c>
      <c r="AC258" s="58">
        <f t="shared" si="43"/>
        <v>90.173999999999992</v>
      </c>
      <c r="AD258" s="59">
        <f t="shared" si="52"/>
        <v>0.72699999999999998</v>
      </c>
      <c r="AE258" s="59">
        <f t="shared" si="53"/>
        <v>0.67799999999999994</v>
      </c>
      <c r="AF258" s="59">
        <f t="shared" si="54"/>
        <v>0.50039081183868217</v>
      </c>
      <c r="AG258" s="59">
        <f t="shared" si="55"/>
        <v>0.8484489231377198</v>
      </c>
      <c r="AH258" s="59">
        <f t="shared" si="56"/>
        <v>0.69305729166666674</v>
      </c>
      <c r="AI258" s="19"/>
      <c r="AJ258" s="19"/>
    </row>
    <row r="259" spans="1:36" ht="18" customHeight="1" x14ac:dyDescent="0.3">
      <c r="A259" s="56">
        <v>3346</v>
      </c>
      <c r="B259" s="23" t="s">
        <v>591</v>
      </c>
      <c r="C259" s="14">
        <v>1999</v>
      </c>
      <c r="D259" s="18" t="str">
        <f>VLOOKUP(A259, '전체 목록(n=66)'!C:F, 4, FALSE)</f>
        <v>미국</v>
      </c>
      <c r="E259" s="6">
        <v>192</v>
      </c>
      <c r="F259" s="6" t="s">
        <v>106</v>
      </c>
      <c r="G259" s="6">
        <v>59</v>
      </c>
      <c r="H259" s="6" t="s">
        <v>107</v>
      </c>
      <c r="I259" s="6">
        <f t="shared" si="51"/>
        <v>133</v>
      </c>
      <c r="J259" s="6" t="s">
        <v>51</v>
      </c>
      <c r="K259" s="6" t="s">
        <v>91</v>
      </c>
      <c r="L259" s="19"/>
      <c r="M259" s="19"/>
      <c r="N259" s="19"/>
      <c r="O259" s="19"/>
      <c r="P259" s="19">
        <v>93.2</v>
      </c>
      <c r="Q259" s="19">
        <v>94.4</v>
      </c>
      <c r="R259" s="19"/>
      <c r="S259" s="19"/>
      <c r="T259" s="19"/>
      <c r="U259" s="19"/>
      <c r="V259" s="19"/>
      <c r="W259" s="19"/>
      <c r="X259" s="19"/>
      <c r="Y259" s="19"/>
      <c r="Z259" s="58">
        <f t="shared" si="40"/>
        <v>54.988</v>
      </c>
      <c r="AA259" s="58">
        <f t="shared" si="41"/>
        <v>7.4479999999999933</v>
      </c>
      <c r="AB259" s="58">
        <f t="shared" si="42"/>
        <v>4.0120000000000005</v>
      </c>
      <c r="AC259" s="58">
        <f t="shared" si="43"/>
        <v>125.55200000000001</v>
      </c>
      <c r="AD259" s="59">
        <f t="shared" si="52"/>
        <v>0.93199999999999994</v>
      </c>
      <c r="AE259" s="59">
        <f t="shared" si="53"/>
        <v>0.94400000000000006</v>
      </c>
      <c r="AF259" s="59">
        <f t="shared" si="54"/>
        <v>0.88070984688320852</v>
      </c>
      <c r="AG259" s="59">
        <f t="shared" si="55"/>
        <v>0.96903460837887057</v>
      </c>
      <c r="AH259" s="59">
        <f t="shared" si="56"/>
        <v>0.94031250000000011</v>
      </c>
      <c r="AI259" s="19"/>
      <c r="AJ259" s="19"/>
    </row>
    <row r="260" spans="1:36" ht="18" customHeight="1" x14ac:dyDescent="0.3">
      <c r="A260" s="56">
        <v>3346</v>
      </c>
      <c r="B260" s="23" t="s">
        <v>591</v>
      </c>
      <c r="C260" s="14">
        <v>1999</v>
      </c>
      <c r="D260" s="18" t="str">
        <f>VLOOKUP(A260, '전체 목록(n=66)'!C:F, 4, FALSE)</f>
        <v>미국</v>
      </c>
      <c r="E260" s="6">
        <v>192</v>
      </c>
      <c r="F260" s="6" t="s">
        <v>106</v>
      </c>
      <c r="G260" s="6">
        <v>59</v>
      </c>
      <c r="H260" s="6" t="s">
        <v>107</v>
      </c>
      <c r="I260" s="6">
        <f t="shared" si="51"/>
        <v>133</v>
      </c>
      <c r="J260" s="6" t="s">
        <v>39</v>
      </c>
      <c r="K260" s="6" t="s">
        <v>279</v>
      </c>
      <c r="L260" s="19"/>
      <c r="M260" s="19"/>
      <c r="N260" s="19"/>
      <c r="O260" s="19"/>
      <c r="P260" s="19">
        <v>61.1</v>
      </c>
      <c r="Q260" s="19">
        <v>73.400000000000006</v>
      </c>
      <c r="R260" s="19"/>
      <c r="S260" s="19"/>
      <c r="T260" s="19"/>
      <c r="U260" s="19"/>
      <c r="V260" s="19"/>
      <c r="W260" s="19"/>
      <c r="X260" s="19"/>
      <c r="Y260" s="19"/>
      <c r="Z260" s="58">
        <f t="shared" ref="Z260:Z303" si="57">G260*P260/100</f>
        <v>36.048999999999999</v>
      </c>
      <c r="AA260" s="58">
        <f t="shared" ref="AA260:AA303" si="58">I260-AC260</f>
        <v>35.377999999999986</v>
      </c>
      <c r="AB260" s="58">
        <f t="shared" ref="AB260:AB303" si="59">G260-Z260</f>
        <v>22.951000000000001</v>
      </c>
      <c r="AC260" s="58">
        <f t="shared" ref="AC260:AC303" si="60">I260*Q260/100</f>
        <v>97.622000000000014</v>
      </c>
      <c r="AD260" s="59">
        <f t="shared" si="52"/>
        <v>0.61099999999999999</v>
      </c>
      <c r="AE260" s="59">
        <f t="shared" si="53"/>
        <v>0.7340000000000001</v>
      </c>
      <c r="AF260" s="59">
        <f t="shared" si="54"/>
        <v>0.50469710333627349</v>
      </c>
      <c r="AG260" s="59">
        <f t="shared" si="55"/>
        <v>0.80965058512270582</v>
      </c>
      <c r="AH260" s="59">
        <f t="shared" si="56"/>
        <v>0.69620312500000014</v>
      </c>
      <c r="AI260" s="19"/>
      <c r="AJ260" s="19"/>
    </row>
    <row r="261" spans="1:36" ht="18" customHeight="1" x14ac:dyDescent="0.3">
      <c r="A261" s="56">
        <v>3346</v>
      </c>
      <c r="B261" s="23" t="s">
        <v>591</v>
      </c>
      <c r="C261" s="14">
        <v>1999</v>
      </c>
      <c r="D261" s="18" t="str">
        <f>VLOOKUP(A261, '전체 목록(n=66)'!C:F, 4, FALSE)</f>
        <v>미국</v>
      </c>
      <c r="E261" s="6">
        <v>192</v>
      </c>
      <c r="F261" s="6" t="s">
        <v>106</v>
      </c>
      <c r="G261" s="6">
        <v>59</v>
      </c>
      <c r="H261" s="6" t="s">
        <v>107</v>
      </c>
      <c r="I261" s="6">
        <f t="shared" si="51"/>
        <v>133</v>
      </c>
      <c r="J261" s="6" t="s">
        <v>51</v>
      </c>
      <c r="K261" s="6" t="s">
        <v>279</v>
      </c>
      <c r="L261" s="19"/>
      <c r="M261" s="19"/>
      <c r="N261" s="19"/>
      <c r="O261" s="19"/>
      <c r="P261" s="19">
        <v>97.2</v>
      </c>
      <c r="Q261" s="19">
        <v>95.6</v>
      </c>
      <c r="R261" s="19"/>
      <c r="S261" s="19"/>
      <c r="T261" s="19"/>
      <c r="U261" s="19"/>
      <c r="V261" s="19"/>
      <c r="W261" s="19"/>
      <c r="X261" s="19"/>
      <c r="Y261" s="19"/>
      <c r="Z261" s="58">
        <f t="shared" si="57"/>
        <v>57.347999999999999</v>
      </c>
      <c r="AA261" s="58">
        <f t="shared" si="58"/>
        <v>5.8520000000000039</v>
      </c>
      <c r="AB261" s="58">
        <f t="shared" si="59"/>
        <v>1.652000000000001</v>
      </c>
      <c r="AC261" s="58">
        <f t="shared" si="60"/>
        <v>127.148</v>
      </c>
      <c r="AD261" s="59">
        <f t="shared" si="52"/>
        <v>0.97199999999999998</v>
      </c>
      <c r="AE261" s="59">
        <f t="shared" si="53"/>
        <v>0.95599999999999996</v>
      </c>
      <c r="AF261" s="59">
        <f t="shared" si="54"/>
        <v>0.90740506329113924</v>
      </c>
      <c r="AG261" s="59">
        <f t="shared" si="55"/>
        <v>0.98717391304347812</v>
      </c>
      <c r="AH261" s="59">
        <f t="shared" si="56"/>
        <v>0.96091666666666653</v>
      </c>
      <c r="AI261" s="19"/>
      <c r="AJ261" s="19"/>
    </row>
    <row r="262" spans="1:36" ht="18" customHeight="1" x14ac:dyDescent="0.3">
      <c r="A262" s="80">
        <v>3230</v>
      </c>
      <c r="B262" s="81" t="s">
        <v>587</v>
      </c>
      <c r="C262" s="82">
        <v>1999</v>
      </c>
      <c r="D262" s="83" t="str">
        <f>VLOOKUP(A262, '전체 목록(n=66)'!C:F, 4, FALSE)</f>
        <v>영국</v>
      </c>
      <c r="E262" s="65">
        <f t="shared" ref="E262:E269" si="61">G262+I262</f>
        <v>214</v>
      </c>
      <c r="F262" s="65" t="s">
        <v>195</v>
      </c>
      <c r="G262" s="65">
        <v>109</v>
      </c>
      <c r="H262" s="65" t="s">
        <v>194</v>
      </c>
      <c r="I262" s="65">
        <v>105</v>
      </c>
      <c r="J262" s="65" t="s">
        <v>39</v>
      </c>
      <c r="K262" s="65" t="s">
        <v>167</v>
      </c>
      <c r="L262" s="84"/>
      <c r="M262" s="84"/>
      <c r="N262" s="84"/>
      <c r="O262" s="84"/>
      <c r="P262" s="84">
        <v>20</v>
      </c>
      <c r="Q262" s="84" t="s">
        <v>55</v>
      </c>
      <c r="R262" s="84"/>
      <c r="S262" s="84"/>
      <c r="T262" s="84"/>
      <c r="U262" s="84"/>
      <c r="V262" s="84"/>
      <c r="W262" s="84"/>
      <c r="X262" s="84"/>
      <c r="Y262" s="84"/>
      <c r="Z262" s="85">
        <f t="shared" si="57"/>
        <v>21.8</v>
      </c>
      <c r="AA262" s="85" t="e">
        <f t="shared" si="58"/>
        <v>#VALUE!</v>
      </c>
      <c r="AB262" s="85">
        <f t="shared" si="59"/>
        <v>87.2</v>
      </c>
      <c r="AC262" s="85" t="e">
        <f t="shared" si="60"/>
        <v>#VALUE!</v>
      </c>
      <c r="AD262" s="71">
        <f t="shared" si="52"/>
        <v>0.2</v>
      </c>
      <c r="AE262" s="71" t="e">
        <f t="shared" si="53"/>
        <v>#VALUE!</v>
      </c>
      <c r="AF262" s="71" t="e">
        <f t="shared" si="54"/>
        <v>#VALUE!</v>
      </c>
      <c r="AG262" s="71" t="e">
        <f t="shared" si="55"/>
        <v>#VALUE!</v>
      </c>
      <c r="AH262" s="71" t="e">
        <f t="shared" si="56"/>
        <v>#VALUE!</v>
      </c>
    </row>
    <row r="263" spans="1:36" ht="18" customHeight="1" x14ac:dyDescent="0.3">
      <c r="A263" s="80">
        <v>3230</v>
      </c>
      <c r="B263" s="81" t="s">
        <v>587</v>
      </c>
      <c r="C263" s="82">
        <v>1999</v>
      </c>
      <c r="D263" s="83" t="str">
        <f>VLOOKUP(A263, '전체 목록(n=66)'!C:F, 4, FALSE)</f>
        <v>영국</v>
      </c>
      <c r="E263" s="65">
        <f t="shared" si="61"/>
        <v>214</v>
      </c>
      <c r="F263" s="65" t="s">
        <v>195</v>
      </c>
      <c r="G263" s="65">
        <v>109</v>
      </c>
      <c r="H263" s="65" t="s">
        <v>194</v>
      </c>
      <c r="I263" s="65">
        <v>105</v>
      </c>
      <c r="J263" s="65" t="s">
        <v>51</v>
      </c>
      <c r="K263" s="65" t="s">
        <v>167</v>
      </c>
      <c r="L263" s="84"/>
      <c r="M263" s="84"/>
      <c r="N263" s="84"/>
      <c r="O263" s="84"/>
      <c r="P263" s="84">
        <v>17</v>
      </c>
      <c r="Q263" s="84" t="s">
        <v>55</v>
      </c>
      <c r="R263" s="84"/>
      <c r="S263" s="84"/>
      <c r="T263" s="84"/>
      <c r="U263" s="84"/>
      <c r="V263" s="84"/>
      <c r="W263" s="84"/>
      <c r="X263" s="84"/>
      <c r="Y263" s="84"/>
      <c r="Z263" s="85">
        <f t="shared" si="57"/>
        <v>18.53</v>
      </c>
      <c r="AA263" s="85" t="e">
        <f t="shared" si="58"/>
        <v>#VALUE!</v>
      </c>
      <c r="AB263" s="85">
        <f t="shared" si="59"/>
        <v>90.47</v>
      </c>
      <c r="AC263" s="85" t="e">
        <f t="shared" si="60"/>
        <v>#VALUE!</v>
      </c>
      <c r="AD263" s="71">
        <f t="shared" si="52"/>
        <v>0.17</v>
      </c>
      <c r="AE263" s="71" t="e">
        <f t="shared" si="53"/>
        <v>#VALUE!</v>
      </c>
      <c r="AF263" s="71" t="e">
        <f t="shared" si="54"/>
        <v>#VALUE!</v>
      </c>
      <c r="AG263" s="71" t="e">
        <f t="shared" si="55"/>
        <v>#VALUE!</v>
      </c>
      <c r="AH263" s="71" t="e">
        <f t="shared" si="56"/>
        <v>#VALUE!</v>
      </c>
    </row>
    <row r="264" spans="1:36" ht="18" customHeight="1" x14ac:dyDescent="0.3">
      <c r="A264" s="80">
        <v>3230</v>
      </c>
      <c r="B264" s="81" t="s">
        <v>587</v>
      </c>
      <c r="C264" s="82">
        <v>1999</v>
      </c>
      <c r="D264" s="83" t="str">
        <f>VLOOKUP(A264, '전체 목록(n=66)'!C:F, 4, FALSE)</f>
        <v>영국</v>
      </c>
      <c r="E264" s="65">
        <f t="shared" si="61"/>
        <v>214</v>
      </c>
      <c r="F264" s="65" t="s">
        <v>195</v>
      </c>
      <c r="G264" s="65">
        <v>109</v>
      </c>
      <c r="H264" s="65" t="s">
        <v>194</v>
      </c>
      <c r="I264" s="65">
        <v>105</v>
      </c>
      <c r="J264" s="65" t="s">
        <v>268</v>
      </c>
      <c r="K264" s="65" t="s">
        <v>167</v>
      </c>
      <c r="L264" s="84"/>
      <c r="M264" s="84"/>
      <c r="N264" s="84"/>
      <c r="O264" s="84"/>
      <c r="P264" s="84">
        <v>12</v>
      </c>
      <c r="Q264" s="84" t="s">
        <v>55</v>
      </c>
      <c r="R264" s="84"/>
      <c r="S264" s="84"/>
      <c r="T264" s="84"/>
      <c r="U264" s="84"/>
      <c r="V264" s="84"/>
      <c r="W264" s="84"/>
      <c r="X264" s="84"/>
      <c r="Y264" s="84"/>
      <c r="Z264" s="85">
        <f t="shared" si="57"/>
        <v>13.08</v>
      </c>
      <c r="AA264" s="85" t="e">
        <f t="shared" si="58"/>
        <v>#VALUE!</v>
      </c>
      <c r="AB264" s="85">
        <f t="shared" si="59"/>
        <v>95.92</v>
      </c>
      <c r="AC264" s="85" t="e">
        <f t="shared" si="60"/>
        <v>#VALUE!</v>
      </c>
      <c r="AD264" s="71">
        <f t="shared" si="52"/>
        <v>0.12</v>
      </c>
      <c r="AE264" s="71" t="e">
        <f t="shared" si="53"/>
        <v>#VALUE!</v>
      </c>
      <c r="AF264" s="71" t="e">
        <f t="shared" si="54"/>
        <v>#VALUE!</v>
      </c>
      <c r="AG264" s="71" t="e">
        <f t="shared" si="55"/>
        <v>#VALUE!</v>
      </c>
      <c r="AH264" s="71" t="e">
        <f t="shared" si="56"/>
        <v>#VALUE!</v>
      </c>
    </row>
    <row r="265" spans="1:36" ht="18" customHeight="1" x14ac:dyDescent="0.3">
      <c r="A265" s="80">
        <v>3230</v>
      </c>
      <c r="B265" s="81" t="s">
        <v>587</v>
      </c>
      <c r="C265" s="82">
        <v>1999</v>
      </c>
      <c r="D265" s="83" t="str">
        <f>VLOOKUP(A265, '전체 목록(n=66)'!C:F, 4, FALSE)</f>
        <v>영국</v>
      </c>
      <c r="E265" s="65">
        <f t="shared" si="61"/>
        <v>214</v>
      </c>
      <c r="F265" s="65" t="s">
        <v>195</v>
      </c>
      <c r="G265" s="65">
        <v>109</v>
      </c>
      <c r="H265" s="65" t="s">
        <v>194</v>
      </c>
      <c r="I265" s="65">
        <v>105</v>
      </c>
      <c r="J265" s="65" t="s">
        <v>269</v>
      </c>
      <c r="K265" s="65" t="s">
        <v>167</v>
      </c>
      <c r="L265" s="84"/>
      <c r="M265" s="84"/>
      <c r="N265" s="84"/>
      <c r="O265" s="84"/>
      <c r="P265" s="84">
        <v>15</v>
      </c>
      <c r="Q265" s="84" t="s">
        <v>55</v>
      </c>
      <c r="R265" s="84"/>
      <c r="S265" s="84"/>
      <c r="T265" s="84"/>
      <c r="U265" s="84"/>
      <c r="V265" s="84"/>
      <c r="W265" s="84"/>
      <c r="X265" s="84"/>
      <c r="Y265" s="84"/>
      <c r="Z265" s="85">
        <f t="shared" si="57"/>
        <v>16.350000000000001</v>
      </c>
      <c r="AA265" s="85" t="e">
        <f t="shared" si="58"/>
        <v>#VALUE!</v>
      </c>
      <c r="AB265" s="85">
        <f t="shared" si="59"/>
        <v>92.65</v>
      </c>
      <c r="AC265" s="85" t="e">
        <f t="shared" si="60"/>
        <v>#VALUE!</v>
      </c>
      <c r="AD265" s="71">
        <f t="shared" si="52"/>
        <v>0.15000000000000002</v>
      </c>
      <c r="AE265" s="71" t="e">
        <f t="shared" si="53"/>
        <v>#VALUE!</v>
      </c>
      <c r="AF265" s="71" t="e">
        <f t="shared" si="54"/>
        <v>#VALUE!</v>
      </c>
      <c r="AG265" s="71" t="e">
        <f t="shared" si="55"/>
        <v>#VALUE!</v>
      </c>
      <c r="AH265" s="71" t="e">
        <f t="shared" si="56"/>
        <v>#VALUE!</v>
      </c>
    </row>
    <row r="266" spans="1:36" ht="18" customHeight="1" x14ac:dyDescent="0.3">
      <c r="A266" s="56">
        <v>3230</v>
      </c>
      <c r="B266" s="23" t="s">
        <v>587</v>
      </c>
      <c r="C266" s="14">
        <v>1999</v>
      </c>
      <c r="D266" s="18" t="str">
        <f>VLOOKUP(A266, '전체 목록(n=66)'!C:F, 4, FALSE)</f>
        <v>영국</v>
      </c>
      <c r="E266" s="6">
        <f t="shared" si="61"/>
        <v>214</v>
      </c>
      <c r="F266" s="6" t="s">
        <v>195</v>
      </c>
      <c r="G266" s="6">
        <v>109</v>
      </c>
      <c r="H266" s="6" t="s">
        <v>194</v>
      </c>
      <c r="I266" s="6">
        <v>105</v>
      </c>
      <c r="J266" s="6" t="s">
        <v>39</v>
      </c>
      <c r="K266" s="6" t="s">
        <v>206</v>
      </c>
      <c r="L266" s="19"/>
      <c r="M266" s="19"/>
      <c r="N266" s="19"/>
      <c r="O266" s="19"/>
      <c r="P266" s="19">
        <v>29</v>
      </c>
      <c r="Q266" s="19">
        <v>96</v>
      </c>
      <c r="R266" s="19"/>
      <c r="S266" s="19"/>
      <c r="T266" s="19"/>
      <c r="U266" s="19"/>
      <c r="V266" s="19"/>
      <c r="W266" s="19"/>
      <c r="X266" s="19"/>
      <c r="Y266" s="19"/>
      <c r="Z266" s="58">
        <f t="shared" si="57"/>
        <v>31.61</v>
      </c>
      <c r="AA266" s="58">
        <f t="shared" si="58"/>
        <v>4.2000000000000028</v>
      </c>
      <c r="AB266" s="58">
        <f t="shared" si="59"/>
        <v>77.39</v>
      </c>
      <c r="AC266" s="58">
        <f t="shared" si="60"/>
        <v>100.8</v>
      </c>
      <c r="AD266" s="59">
        <f t="shared" si="52"/>
        <v>0.28999999999999998</v>
      </c>
      <c r="AE266" s="59">
        <f t="shared" si="53"/>
        <v>0.96</v>
      </c>
      <c r="AF266" s="59">
        <f t="shared" si="54"/>
        <v>0.88271432560737217</v>
      </c>
      <c r="AG266" s="59">
        <f t="shared" si="55"/>
        <v>0.56568831023065269</v>
      </c>
      <c r="AH266" s="59">
        <f t="shared" si="56"/>
        <v>0.61873831775700938</v>
      </c>
      <c r="AI266" s="19"/>
    </row>
    <row r="267" spans="1:36" ht="18" customHeight="1" x14ac:dyDescent="0.3">
      <c r="A267" s="56">
        <v>3230</v>
      </c>
      <c r="B267" s="23" t="s">
        <v>587</v>
      </c>
      <c r="C267" s="14">
        <v>1999</v>
      </c>
      <c r="D267" s="18" t="str">
        <f>VLOOKUP(A267, '전체 목록(n=66)'!C:F, 4, FALSE)</f>
        <v>영국</v>
      </c>
      <c r="E267" s="6">
        <f t="shared" si="61"/>
        <v>214</v>
      </c>
      <c r="F267" s="6" t="s">
        <v>195</v>
      </c>
      <c r="G267" s="6">
        <v>109</v>
      </c>
      <c r="H267" s="6" t="s">
        <v>194</v>
      </c>
      <c r="I267" s="6">
        <v>105</v>
      </c>
      <c r="J267" s="6" t="s">
        <v>51</v>
      </c>
      <c r="K267" s="6" t="s">
        <v>206</v>
      </c>
      <c r="L267" s="19"/>
      <c r="M267" s="19"/>
      <c r="N267" s="19"/>
      <c r="O267" s="19"/>
      <c r="P267" s="19">
        <v>52</v>
      </c>
      <c r="Q267" s="19">
        <v>97</v>
      </c>
      <c r="R267" s="19"/>
      <c r="S267" s="19"/>
      <c r="T267" s="19"/>
      <c r="U267" s="19"/>
      <c r="V267" s="19"/>
      <c r="W267" s="19"/>
      <c r="X267" s="19"/>
      <c r="Y267" s="19"/>
      <c r="Z267" s="58">
        <f t="shared" si="57"/>
        <v>56.68</v>
      </c>
      <c r="AA267" s="58">
        <f t="shared" si="58"/>
        <v>3.1500000000000057</v>
      </c>
      <c r="AB267" s="58">
        <f t="shared" si="59"/>
        <v>52.32</v>
      </c>
      <c r="AC267" s="58">
        <f t="shared" si="60"/>
        <v>101.85</v>
      </c>
      <c r="AD267" s="59">
        <f t="shared" si="52"/>
        <v>0.52</v>
      </c>
      <c r="AE267" s="59">
        <f t="shared" si="53"/>
        <v>0.97</v>
      </c>
      <c r="AF267" s="59">
        <f t="shared" si="54"/>
        <v>0.94735082734414167</v>
      </c>
      <c r="AG267" s="59">
        <f t="shared" si="55"/>
        <v>0.66063436466238568</v>
      </c>
      <c r="AH267" s="59">
        <f t="shared" si="56"/>
        <v>0.74079439252336454</v>
      </c>
      <c r="AI267" s="19"/>
    </row>
    <row r="268" spans="1:36" ht="18" customHeight="1" x14ac:dyDescent="0.3">
      <c r="A268" s="56">
        <v>3230</v>
      </c>
      <c r="B268" s="23" t="s">
        <v>587</v>
      </c>
      <c r="C268" s="14">
        <v>1999</v>
      </c>
      <c r="D268" s="18" t="str">
        <f>VLOOKUP(A268, '전체 목록(n=66)'!C:F, 4, FALSE)</f>
        <v>영국</v>
      </c>
      <c r="E268" s="6">
        <f t="shared" si="61"/>
        <v>214</v>
      </c>
      <c r="F268" s="6" t="s">
        <v>195</v>
      </c>
      <c r="G268" s="6">
        <v>109</v>
      </c>
      <c r="H268" s="6" t="s">
        <v>194</v>
      </c>
      <c r="I268" s="6">
        <v>105</v>
      </c>
      <c r="J268" s="6" t="s">
        <v>268</v>
      </c>
      <c r="K268" s="6" t="s">
        <v>206</v>
      </c>
      <c r="L268" s="19"/>
      <c r="M268" s="19"/>
      <c r="N268" s="19"/>
      <c r="O268" s="19"/>
      <c r="P268" s="19">
        <v>30</v>
      </c>
      <c r="Q268" s="19">
        <v>99</v>
      </c>
      <c r="R268" s="19"/>
      <c r="S268" s="19"/>
      <c r="T268" s="19"/>
      <c r="U268" s="19"/>
      <c r="V268" s="19"/>
      <c r="W268" s="19"/>
      <c r="X268" s="19"/>
      <c r="Y268" s="19"/>
      <c r="Z268" s="58">
        <f t="shared" si="57"/>
        <v>32.700000000000003</v>
      </c>
      <c r="AA268" s="58">
        <f t="shared" si="58"/>
        <v>1.0499999999999972</v>
      </c>
      <c r="AB268" s="58">
        <f t="shared" si="59"/>
        <v>76.3</v>
      </c>
      <c r="AC268" s="58">
        <f t="shared" si="60"/>
        <v>103.95</v>
      </c>
      <c r="AD268" s="59">
        <f t="shared" si="52"/>
        <v>0.30000000000000004</v>
      </c>
      <c r="AE268" s="59">
        <f t="shared" si="53"/>
        <v>0.99</v>
      </c>
      <c r="AF268" s="59">
        <f t="shared" si="54"/>
        <v>0.96888888888888902</v>
      </c>
      <c r="AG268" s="59">
        <f t="shared" si="55"/>
        <v>0.57669902912621362</v>
      </c>
      <c r="AH268" s="59">
        <f t="shared" si="56"/>
        <v>0.63855140186915893</v>
      </c>
      <c r="AI268" s="19"/>
    </row>
    <row r="269" spans="1:36" ht="18" customHeight="1" x14ac:dyDescent="0.3">
      <c r="A269" s="56">
        <v>3230</v>
      </c>
      <c r="B269" s="23" t="s">
        <v>587</v>
      </c>
      <c r="C269" s="14">
        <v>1999</v>
      </c>
      <c r="D269" s="18" t="str">
        <f>VLOOKUP(A269, '전체 목록(n=66)'!C:F, 4, FALSE)</f>
        <v>영국</v>
      </c>
      <c r="E269" s="6">
        <f t="shared" si="61"/>
        <v>214</v>
      </c>
      <c r="F269" s="6" t="s">
        <v>195</v>
      </c>
      <c r="G269" s="6">
        <v>109</v>
      </c>
      <c r="H269" s="6" t="s">
        <v>194</v>
      </c>
      <c r="I269" s="6">
        <v>105</v>
      </c>
      <c r="J269" s="6" t="s">
        <v>269</v>
      </c>
      <c r="K269" s="6" t="s">
        <v>206</v>
      </c>
      <c r="L269" s="19"/>
      <c r="M269" s="19"/>
      <c r="N269" s="19"/>
      <c r="O269" s="19"/>
      <c r="P269" s="19">
        <v>41</v>
      </c>
      <c r="Q269" s="19">
        <v>91</v>
      </c>
      <c r="R269" s="19"/>
      <c r="S269" s="19"/>
      <c r="T269" s="19"/>
      <c r="U269" s="19"/>
      <c r="V269" s="19"/>
      <c r="W269" s="19"/>
      <c r="X269" s="19"/>
      <c r="Y269" s="19"/>
      <c r="Z269" s="58">
        <f t="shared" si="57"/>
        <v>44.69</v>
      </c>
      <c r="AA269" s="58">
        <f t="shared" si="58"/>
        <v>9.4500000000000028</v>
      </c>
      <c r="AB269" s="58">
        <f t="shared" si="59"/>
        <v>64.31</v>
      </c>
      <c r="AC269" s="58">
        <f t="shared" si="60"/>
        <v>95.55</v>
      </c>
      <c r="AD269" s="59">
        <f t="shared" si="52"/>
        <v>0.41</v>
      </c>
      <c r="AE269" s="59">
        <f t="shared" si="53"/>
        <v>0.90999999999999992</v>
      </c>
      <c r="AF269" s="59">
        <f t="shared" si="54"/>
        <v>0.82545253047654221</v>
      </c>
      <c r="AG269" s="59">
        <f t="shared" si="55"/>
        <v>0.59771049668459897</v>
      </c>
      <c r="AH269" s="59">
        <f t="shared" si="56"/>
        <v>0.6553271028037384</v>
      </c>
      <c r="AI269" s="19"/>
    </row>
    <row r="270" spans="1:36" ht="18" customHeight="1" x14ac:dyDescent="0.3">
      <c r="A270" s="56" t="s">
        <v>536</v>
      </c>
      <c r="B270" s="19" t="s">
        <v>614</v>
      </c>
      <c r="C270" s="41">
        <v>1999</v>
      </c>
      <c r="D270" s="19" t="s">
        <v>529</v>
      </c>
      <c r="E270" s="6">
        <v>138</v>
      </c>
      <c r="F270" s="6" t="s">
        <v>97</v>
      </c>
      <c r="G270" s="6">
        <v>49</v>
      </c>
      <c r="H270" s="6" t="s">
        <v>98</v>
      </c>
      <c r="I270" s="6">
        <f>41+48</f>
        <v>89</v>
      </c>
      <c r="J270" s="6" t="s">
        <v>39</v>
      </c>
      <c r="K270" s="6" t="s">
        <v>538</v>
      </c>
      <c r="L270" s="19"/>
      <c r="M270" s="19"/>
      <c r="N270" s="19"/>
      <c r="O270" s="19"/>
      <c r="P270" s="19">
        <v>73.5</v>
      </c>
      <c r="Q270" s="19">
        <v>91</v>
      </c>
      <c r="R270" s="19"/>
      <c r="S270" s="19"/>
      <c r="T270" s="19"/>
      <c r="U270" s="19"/>
      <c r="V270" s="19"/>
      <c r="W270" s="19"/>
      <c r="X270" s="19"/>
      <c r="Y270" s="19"/>
      <c r="Z270" s="58">
        <f t="shared" si="57"/>
        <v>36.015000000000001</v>
      </c>
      <c r="AA270" s="58">
        <f t="shared" si="58"/>
        <v>8.0100000000000051</v>
      </c>
      <c r="AB270" s="58">
        <f t="shared" si="59"/>
        <v>12.984999999999999</v>
      </c>
      <c r="AC270" s="58">
        <f t="shared" si="60"/>
        <v>80.989999999999995</v>
      </c>
      <c r="AD270" s="59">
        <f t="shared" si="52"/>
        <v>0.73499999999999999</v>
      </c>
      <c r="AE270" s="59">
        <f t="shared" si="53"/>
        <v>0.90999999999999992</v>
      </c>
      <c r="AF270" s="59">
        <f t="shared" si="54"/>
        <v>0.81805792163543434</v>
      </c>
      <c r="AG270" s="59">
        <f t="shared" si="55"/>
        <v>0.86182495344506516</v>
      </c>
      <c r="AH270" s="59">
        <f t="shared" si="56"/>
        <v>0.84786231884057972</v>
      </c>
      <c r="AI270" s="19"/>
    </row>
    <row r="271" spans="1:36" ht="16.5" customHeight="1" x14ac:dyDescent="0.3">
      <c r="A271" s="56" t="s">
        <v>536</v>
      </c>
      <c r="B271" s="19" t="s">
        <v>614</v>
      </c>
      <c r="C271" s="41">
        <v>1999</v>
      </c>
      <c r="D271" s="19" t="s">
        <v>529</v>
      </c>
      <c r="E271" s="6">
        <v>138</v>
      </c>
      <c r="F271" s="6" t="s">
        <v>97</v>
      </c>
      <c r="G271" s="6">
        <v>49</v>
      </c>
      <c r="H271" s="6" t="s">
        <v>98</v>
      </c>
      <c r="I271" s="6">
        <v>89</v>
      </c>
      <c r="J271" s="6" t="s">
        <v>537</v>
      </c>
      <c r="K271" s="6" t="s">
        <v>538</v>
      </c>
      <c r="L271" s="19"/>
      <c r="M271" s="19"/>
      <c r="N271" s="19"/>
      <c r="O271" s="19"/>
      <c r="P271" s="19">
        <v>100</v>
      </c>
      <c r="Q271" s="19">
        <v>95.5</v>
      </c>
      <c r="R271" s="19"/>
      <c r="S271" s="19"/>
      <c r="T271" s="19"/>
      <c r="U271" s="19"/>
      <c r="V271" s="19"/>
      <c r="W271" s="19"/>
      <c r="X271" s="19"/>
      <c r="Y271" s="19"/>
      <c r="Z271" s="58">
        <f t="shared" si="57"/>
        <v>49</v>
      </c>
      <c r="AA271" s="58">
        <f t="shared" si="58"/>
        <v>4.0049999999999955</v>
      </c>
      <c r="AB271" s="58">
        <f t="shared" si="59"/>
        <v>0</v>
      </c>
      <c r="AC271" s="58">
        <f t="shared" si="60"/>
        <v>84.995000000000005</v>
      </c>
      <c r="AD271" s="59">
        <f t="shared" si="52"/>
        <v>1</v>
      </c>
      <c r="AE271" s="59">
        <f t="shared" si="53"/>
        <v>0.95500000000000007</v>
      </c>
      <c r="AF271" s="59">
        <f t="shared" si="54"/>
        <v>0.92444109046316392</v>
      </c>
      <c r="AG271" s="59">
        <f t="shared" si="55"/>
        <v>1</v>
      </c>
      <c r="AH271" s="59">
        <f t="shared" si="56"/>
        <v>0.97097826086956529</v>
      </c>
      <c r="AI271" s="19"/>
    </row>
    <row r="272" spans="1:36" ht="18" customHeight="1" x14ac:dyDescent="0.3">
      <c r="A272" s="56">
        <v>3449</v>
      </c>
      <c r="B272" s="23" t="s">
        <v>593</v>
      </c>
      <c r="C272" s="14">
        <v>1998</v>
      </c>
      <c r="D272" s="18" t="str">
        <f>VLOOKUP(A272, '전체 목록(n=66)'!C:F, 4, FALSE)</f>
        <v>네덜란드</v>
      </c>
      <c r="E272" s="6">
        <f>G272+I272</f>
        <v>93</v>
      </c>
      <c r="F272" s="6" t="s">
        <v>97</v>
      </c>
      <c r="G272" s="6">
        <v>39</v>
      </c>
      <c r="H272" s="6" t="s">
        <v>284</v>
      </c>
      <c r="I272" s="6">
        <v>54</v>
      </c>
      <c r="J272" s="6" t="s">
        <v>39</v>
      </c>
      <c r="K272" s="6" t="s">
        <v>193</v>
      </c>
      <c r="L272" s="19"/>
      <c r="M272" s="19"/>
      <c r="N272" s="19"/>
      <c r="O272" s="19"/>
      <c r="P272" s="19">
        <v>93</v>
      </c>
      <c r="Q272" s="19">
        <v>94</v>
      </c>
      <c r="R272" s="19"/>
      <c r="S272" s="19"/>
      <c r="T272" s="19"/>
      <c r="U272" s="19"/>
      <c r="V272" s="19"/>
      <c r="W272" s="19">
        <v>0.98</v>
      </c>
      <c r="X272" s="19" t="s">
        <v>285</v>
      </c>
      <c r="Y272" s="19"/>
      <c r="Z272" s="58">
        <f t="shared" si="57"/>
        <v>36.270000000000003</v>
      </c>
      <c r="AA272" s="58">
        <f t="shared" si="58"/>
        <v>3.240000000000002</v>
      </c>
      <c r="AB272" s="58">
        <f t="shared" si="59"/>
        <v>2.7299999999999969</v>
      </c>
      <c r="AC272" s="58">
        <f t="shared" si="60"/>
        <v>50.76</v>
      </c>
      <c r="AD272" s="59">
        <f t="shared" si="52"/>
        <v>0.93</v>
      </c>
      <c r="AE272" s="59">
        <f t="shared" si="53"/>
        <v>0.94</v>
      </c>
      <c r="AF272" s="59">
        <f t="shared" si="54"/>
        <v>0.91799544419134393</v>
      </c>
      <c r="AG272" s="59">
        <f t="shared" si="55"/>
        <v>0.94896242288278188</v>
      </c>
      <c r="AH272" s="59">
        <f t="shared" si="56"/>
        <v>0.93580645161290321</v>
      </c>
      <c r="AI272" s="19"/>
    </row>
    <row r="273" spans="1:35" ht="18" customHeight="1" x14ac:dyDescent="0.3">
      <c r="A273" s="56">
        <v>3449</v>
      </c>
      <c r="B273" s="23" t="s">
        <v>593</v>
      </c>
      <c r="C273" s="14">
        <v>1998</v>
      </c>
      <c r="D273" s="18" t="str">
        <f>VLOOKUP(A273, '전체 목록(n=66)'!C:F, 4, FALSE)</f>
        <v>네덜란드</v>
      </c>
      <c r="E273" s="6">
        <f>G273+I273</f>
        <v>93</v>
      </c>
      <c r="F273" s="6" t="s">
        <v>97</v>
      </c>
      <c r="G273" s="6">
        <v>39</v>
      </c>
      <c r="H273" s="6" t="s">
        <v>284</v>
      </c>
      <c r="I273" s="6">
        <v>54</v>
      </c>
      <c r="J273" s="6" t="s">
        <v>174</v>
      </c>
      <c r="K273" s="6" t="s">
        <v>193</v>
      </c>
      <c r="L273" s="19"/>
      <c r="M273" s="19"/>
      <c r="N273" s="19"/>
      <c r="O273" s="19"/>
      <c r="P273" s="19">
        <v>53</v>
      </c>
      <c r="Q273" s="19">
        <v>98</v>
      </c>
      <c r="R273" s="19"/>
      <c r="S273" s="19"/>
      <c r="T273" s="19"/>
      <c r="U273" s="19"/>
      <c r="V273" s="19"/>
      <c r="W273" s="19">
        <v>0.9</v>
      </c>
      <c r="X273" s="19" t="s">
        <v>286</v>
      </c>
      <c r="Y273" s="19"/>
      <c r="Z273" s="58">
        <f t="shared" si="57"/>
        <v>20.67</v>
      </c>
      <c r="AA273" s="58">
        <f t="shared" si="58"/>
        <v>1.0799999999999983</v>
      </c>
      <c r="AB273" s="58">
        <f t="shared" si="59"/>
        <v>18.329999999999998</v>
      </c>
      <c r="AC273" s="58">
        <f t="shared" si="60"/>
        <v>52.92</v>
      </c>
      <c r="AD273" s="59">
        <f t="shared" si="52"/>
        <v>0.53</v>
      </c>
      <c r="AE273" s="59">
        <f t="shared" si="53"/>
        <v>0.98</v>
      </c>
      <c r="AF273" s="59">
        <f t="shared" si="54"/>
        <v>0.95034482758620697</v>
      </c>
      <c r="AG273" s="59">
        <f t="shared" si="55"/>
        <v>0.74273684210526314</v>
      </c>
      <c r="AH273" s="59">
        <f t="shared" si="56"/>
        <v>0.79129032258064524</v>
      </c>
      <c r="AI273" s="19"/>
    </row>
    <row r="274" spans="1:35" ht="18" customHeight="1" x14ac:dyDescent="0.3">
      <c r="A274" s="56">
        <v>3449</v>
      </c>
      <c r="B274" s="23" t="s">
        <v>593</v>
      </c>
      <c r="C274" s="14">
        <v>1998</v>
      </c>
      <c r="D274" s="18" t="str">
        <f>VLOOKUP(A274, '전체 목록(n=66)'!C:F, 4, FALSE)</f>
        <v>네덜란드</v>
      </c>
      <c r="E274" s="6">
        <f>G274+I274</f>
        <v>93</v>
      </c>
      <c r="F274" s="6" t="s">
        <v>97</v>
      </c>
      <c r="G274" s="6">
        <v>39</v>
      </c>
      <c r="H274" s="6" t="s">
        <v>284</v>
      </c>
      <c r="I274" s="6">
        <v>54</v>
      </c>
      <c r="J274" s="6" t="s">
        <v>121</v>
      </c>
      <c r="K274" s="6" t="s">
        <v>193</v>
      </c>
      <c r="L274" s="19"/>
      <c r="M274" s="19"/>
      <c r="N274" s="19"/>
      <c r="O274" s="19"/>
      <c r="P274" s="19">
        <v>80</v>
      </c>
      <c r="Q274" s="19">
        <v>69</v>
      </c>
      <c r="R274" s="19"/>
      <c r="S274" s="19"/>
      <c r="T274" s="19"/>
      <c r="U274" s="19"/>
      <c r="V274" s="19"/>
      <c r="W274" s="19">
        <v>0.78</v>
      </c>
      <c r="X274" s="19" t="s">
        <v>287</v>
      </c>
      <c r="Y274" s="19"/>
      <c r="Z274" s="58">
        <f t="shared" si="57"/>
        <v>31.2</v>
      </c>
      <c r="AA274" s="58">
        <f t="shared" si="58"/>
        <v>16.740000000000002</v>
      </c>
      <c r="AB274" s="58">
        <f t="shared" si="59"/>
        <v>7.8000000000000007</v>
      </c>
      <c r="AC274" s="58">
        <f t="shared" si="60"/>
        <v>37.26</v>
      </c>
      <c r="AD274" s="59">
        <f t="shared" si="52"/>
        <v>0.79999999999999993</v>
      </c>
      <c r="AE274" s="59">
        <f t="shared" si="53"/>
        <v>0.69</v>
      </c>
      <c r="AF274" s="59">
        <f t="shared" si="54"/>
        <v>0.65081351689612021</v>
      </c>
      <c r="AG274" s="59">
        <f t="shared" si="55"/>
        <v>0.82689747003994662</v>
      </c>
      <c r="AH274" s="59">
        <f t="shared" si="56"/>
        <v>0.73612903225806448</v>
      </c>
      <c r="AI274" s="19"/>
    </row>
    <row r="275" spans="1:35" ht="18" customHeight="1" x14ac:dyDescent="0.3">
      <c r="A275" s="56" t="s">
        <v>533</v>
      </c>
      <c r="B275" s="19" t="s">
        <v>615</v>
      </c>
      <c r="C275" s="41">
        <v>1998</v>
      </c>
      <c r="D275" s="19" t="s">
        <v>529</v>
      </c>
      <c r="E275" s="6">
        <v>72</v>
      </c>
      <c r="F275" s="6" t="s">
        <v>97</v>
      </c>
      <c r="G275" s="6">
        <v>38</v>
      </c>
      <c r="H275" s="6" t="s">
        <v>98</v>
      </c>
      <c r="I275" s="6">
        <v>34</v>
      </c>
      <c r="J275" s="6" t="s">
        <v>39</v>
      </c>
      <c r="K275" s="6" t="s">
        <v>534</v>
      </c>
      <c r="P275" s="1">
        <v>72</v>
      </c>
      <c r="Q275" s="1">
        <v>76</v>
      </c>
      <c r="R275" s="1">
        <v>91</v>
      </c>
      <c r="S275" s="1">
        <v>91</v>
      </c>
      <c r="Z275" s="58">
        <f t="shared" si="57"/>
        <v>27.36</v>
      </c>
      <c r="AA275" s="58">
        <f t="shared" si="58"/>
        <v>8.16</v>
      </c>
      <c r="AB275" s="58">
        <f t="shared" si="59"/>
        <v>10.64</v>
      </c>
      <c r="AC275" s="58">
        <f t="shared" si="60"/>
        <v>25.84</v>
      </c>
      <c r="AD275" s="59">
        <f t="shared" si="52"/>
        <v>0.72</v>
      </c>
      <c r="AE275" s="59">
        <f t="shared" si="53"/>
        <v>0.76</v>
      </c>
      <c r="AF275" s="71">
        <f t="shared" si="54"/>
        <v>0.77027027027027029</v>
      </c>
      <c r="AG275" s="71">
        <f t="shared" si="55"/>
        <v>0.70833333333333326</v>
      </c>
      <c r="AH275" s="59">
        <f t="shared" si="56"/>
        <v>0.73888888888888893</v>
      </c>
    </row>
    <row r="276" spans="1:35" ht="18" customHeight="1" x14ac:dyDescent="0.3">
      <c r="A276" s="56" t="s">
        <v>533</v>
      </c>
      <c r="B276" s="19" t="s">
        <v>615</v>
      </c>
      <c r="C276" s="41">
        <v>1998</v>
      </c>
      <c r="D276" s="19" t="s">
        <v>529</v>
      </c>
      <c r="E276" s="6">
        <v>72</v>
      </c>
      <c r="F276" s="6" t="s">
        <v>97</v>
      </c>
      <c r="G276" s="6">
        <v>38</v>
      </c>
      <c r="H276" s="6" t="s">
        <v>98</v>
      </c>
      <c r="I276" s="6">
        <v>34</v>
      </c>
      <c r="J276" s="6" t="s">
        <v>121</v>
      </c>
      <c r="K276" s="6" t="s">
        <v>534</v>
      </c>
      <c r="P276" s="1">
        <v>24</v>
      </c>
      <c r="Q276" s="1">
        <v>92</v>
      </c>
      <c r="R276" s="1">
        <v>86</v>
      </c>
      <c r="S276" s="1">
        <v>54</v>
      </c>
      <c r="Z276" s="58">
        <f t="shared" si="57"/>
        <v>9.1199999999999992</v>
      </c>
      <c r="AA276" s="58">
        <f t="shared" si="58"/>
        <v>2.7199999999999989</v>
      </c>
      <c r="AB276" s="58">
        <f t="shared" si="59"/>
        <v>28.880000000000003</v>
      </c>
      <c r="AC276" s="58">
        <f t="shared" si="60"/>
        <v>31.28</v>
      </c>
      <c r="AD276" s="59">
        <f t="shared" si="52"/>
        <v>0.24</v>
      </c>
      <c r="AE276" s="59">
        <f t="shared" si="53"/>
        <v>0.92</v>
      </c>
      <c r="AF276" s="71">
        <f t="shared" si="54"/>
        <v>0.77027027027027029</v>
      </c>
      <c r="AG276" s="71">
        <f t="shared" si="55"/>
        <v>0.51994680851063824</v>
      </c>
      <c r="AH276" s="59">
        <f t="shared" si="56"/>
        <v>0.56111111111111112</v>
      </c>
    </row>
    <row r="277" spans="1:35" ht="18" customHeight="1" x14ac:dyDescent="0.3">
      <c r="A277" s="56" t="s">
        <v>533</v>
      </c>
      <c r="B277" s="19" t="s">
        <v>615</v>
      </c>
      <c r="C277" s="41">
        <v>1998</v>
      </c>
      <c r="D277" s="19" t="s">
        <v>529</v>
      </c>
      <c r="E277" s="6">
        <v>72</v>
      </c>
      <c r="F277" s="6" t="s">
        <v>97</v>
      </c>
      <c r="G277" s="6">
        <v>38</v>
      </c>
      <c r="H277" s="6" t="s">
        <v>98</v>
      </c>
      <c r="I277" s="6">
        <v>34</v>
      </c>
      <c r="J277" s="6" t="s">
        <v>39</v>
      </c>
      <c r="K277" s="6" t="s">
        <v>535</v>
      </c>
      <c r="P277" s="1">
        <v>87</v>
      </c>
      <c r="Q277" s="1">
        <v>94</v>
      </c>
      <c r="R277" s="1">
        <v>89</v>
      </c>
      <c r="S277" s="1">
        <v>93</v>
      </c>
      <c r="Z277" s="58">
        <f t="shared" si="57"/>
        <v>33.06</v>
      </c>
      <c r="AA277" s="58">
        <f t="shared" si="58"/>
        <v>2.0399999999999991</v>
      </c>
      <c r="AB277" s="58">
        <f t="shared" si="59"/>
        <v>4.9399999999999977</v>
      </c>
      <c r="AC277" s="58">
        <f t="shared" si="60"/>
        <v>31.96</v>
      </c>
      <c r="AD277" s="59">
        <f t="shared" si="52"/>
        <v>0.87000000000000011</v>
      </c>
      <c r="AE277" s="59">
        <f t="shared" si="53"/>
        <v>0.94000000000000006</v>
      </c>
      <c r="AF277" s="71">
        <f t="shared" si="54"/>
        <v>0.94188034188034186</v>
      </c>
      <c r="AG277" s="71">
        <f t="shared" si="55"/>
        <v>0.86612466124661247</v>
      </c>
      <c r="AH277" s="59">
        <f t="shared" si="56"/>
        <v>0.90305555555555572</v>
      </c>
    </row>
    <row r="278" spans="1:35" ht="18" customHeight="1" x14ac:dyDescent="0.3">
      <c r="A278" s="56" t="s">
        <v>533</v>
      </c>
      <c r="B278" s="19" t="s">
        <v>615</v>
      </c>
      <c r="C278" s="41">
        <v>1998</v>
      </c>
      <c r="D278" s="19" t="s">
        <v>529</v>
      </c>
      <c r="E278" s="6">
        <v>72</v>
      </c>
      <c r="F278" s="6" t="s">
        <v>97</v>
      </c>
      <c r="G278" s="6">
        <v>38</v>
      </c>
      <c r="H278" s="6" t="s">
        <v>98</v>
      </c>
      <c r="I278" s="6">
        <v>34</v>
      </c>
      <c r="J278" s="6" t="s">
        <v>121</v>
      </c>
      <c r="K278" s="6" t="s">
        <v>535</v>
      </c>
      <c r="P278" s="1">
        <v>75</v>
      </c>
      <c r="Q278" s="1">
        <v>91</v>
      </c>
      <c r="R278" s="1">
        <v>91</v>
      </c>
      <c r="S278" s="1">
        <v>75</v>
      </c>
      <c r="Z278" s="58">
        <f t="shared" si="57"/>
        <v>28.5</v>
      </c>
      <c r="AA278" s="58">
        <f t="shared" si="58"/>
        <v>3.0599999999999987</v>
      </c>
      <c r="AB278" s="58">
        <f t="shared" si="59"/>
        <v>9.5</v>
      </c>
      <c r="AC278" s="58">
        <f t="shared" si="60"/>
        <v>30.94</v>
      </c>
      <c r="AD278" s="59">
        <f t="shared" si="52"/>
        <v>0.75</v>
      </c>
      <c r="AE278" s="59">
        <f t="shared" si="53"/>
        <v>0.91</v>
      </c>
      <c r="AF278" s="71">
        <f t="shared" si="54"/>
        <v>0.90304182509505704</v>
      </c>
      <c r="AG278" s="71">
        <f t="shared" si="55"/>
        <v>0.76508407517309607</v>
      </c>
      <c r="AH278" s="59">
        <f t="shared" si="56"/>
        <v>0.82555555555555549</v>
      </c>
    </row>
    <row r="279" spans="1:35" ht="18" customHeight="1" x14ac:dyDescent="0.3">
      <c r="A279" s="56">
        <v>3580</v>
      </c>
      <c r="B279" s="23" t="s">
        <v>594</v>
      </c>
      <c r="C279" s="14">
        <v>1997</v>
      </c>
      <c r="D279" s="18" t="str">
        <f>VLOOKUP(A279, '전체 목록(n=66)'!C:F, 4, FALSE)</f>
        <v>미국</v>
      </c>
      <c r="E279" s="6">
        <f t="shared" ref="E279:E307" si="62">G279+I279</f>
        <v>177</v>
      </c>
      <c r="F279" s="6" t="s">
        <v>97</v>
      </c>
      <c r="G279" s="6">
        <v>27</v>
      </c>
      <c r="H279" s="6" t="s">
        <v>98</v>
      </c>
      <c r="I279" s="6">
        <v>150</v>
      </c>
      <c r="J279" s="6" t="s">
        <v>39</v>
      </c>
      <c r="K279" s="6" t="s">
        <v>167</v>
      </c>
      <c r="L279" s="19"/>
      <c r="M279" s="19"/>
      <c r="N279" s="19"/>
      <c r="O279" s="19"/>
      <c r="P279" s="19">
        <v>33.299999999999997</v>
      </c>
      <c r="Q279" s="19">
        <v>92.7</v>
      </c>
      <c r="R279" s="19">
        <v>45</v>
      </c>
      <c r="S279" s="19">
        <v>88.5</v>
      </c>
      <c r="T279" s="19"/>
      <c r="U279" s="19"/>
      <c r="V279" s="19"/>
      <c r="W279" s="19"/>
      <c r="X279" s="19"/>
      <c r="Y279" s="19"/>
      <c r="Z279" s="58">
        <f t="shared" si="57"/>
        <v>8.9909999999999997</v>
      </c>
      <c r="AA279" s="58">
        <f t="shared" si="58"/>
        <v>10.949999999999989</v>
      </c>
      <c r="AB279" s="58">
        <f t="shared" si="59"/>
        <v>18.009</v>
      </c>
      <c r="AC279" s="58">
        <f t="shared" si="60"/>
        <v>139.05000000000001</v>
      </c>
      <c r="AD279" s="59">
        <f t="shared" si="52"/>
        <v>0.33299999999999996</v>
      </c>
      <c r="AE279" s="59">
        <f t="shared" si="53"/>
        <v>0.92700000000000005</v>
      </c>
      <c r="AF279" s="59">
        <f t="shared" si="54"/>
        <v>0.45088009628403813</v>
      </c>
      <c r="AG279" s="59">
        <f t="shared" si="55"/>
        <v>0.88533608389204055</v>
      </c>
      <c r="AH279" s="59">
        <f t="shared" si="56"/>
        <v>0.8363898305084746</v>
      </c>
    </row>
    <row r="280" spans="1:35" ht="18" customHeight="1" x14ac:dyDescent="0.3">
      <c r="A280" s="56">
        <v>3580</v>
      </c>
      <c r="B280" s="23" t="s">
        <v>594</v>
      </c>
      <c r="C280" s="14">
        <v>1997</v>
      </c>
      <c r="D280" s="18" t="str">
        <f>VLOOKUP(A280, '전체 목록(n=66)'!C:F, 4, FALSE)</f>
        <v>미국</v>
      </c>
      <c r="E280" s="6">
        <f t="shared" si="62"/>
        <v>177</v>
      </c>
      <c r="F280" s="6" t="s">
        <v>97</v>
      </c>
      <c r="G280" s="6">
        <v>27</v>
      </c>
      <c r="H280" s="6" t="s">
        <v>98</v>
      </c>
      <c r="I280" s="6">
        <v>150</v>
      </c>
      <c r="J280" s="6" t="s">
        <v>298</v>
      </c>
      <c r="K280" s="6" t="s">
        <v>167</v>
      </c>
      <c r="L280" s="19"/>
      <c r="M280" s="19"/>
      <c r="N280" s="19"/>
      <c r="O280" s="19"/>
      <c r="P280" s="19">
        <v>3.7</v>
      </c>
      <c r="Q280" s="19">
        <v>98</v>
      </c>
      <c r="R280" s="19">
        <v>25</v>
      </c>
      <c r="S280" s="19">
        <v>85</v>
      </c>
      <c r="T280" s="19"/>
      <c r="U280" s="19"/>
      <c r="V280" s="19"/>
      <c r="W280" s="19"/>
      <c r="X280" s="19"/>
      <c r="Y280" s="19"/>
      <c r="Z280" s="58">
        <f t="shared" si="57"/>
        <v>0.99900000000000011</v>
      </c>
      <c r="AA280" s="58">
        <f t="shared" si="58"/>
        <v>3</v>
      </c>
      <c r="AB280" s="58">
        <f t="shared" si="59"/>
        <v>26.001000000000001</v>
      </c>
      <c r="AC280" s="58">
        <f t="shared" si="60"/>
        <v>147</v>
      </c>
      <c r="AD280" s="59">
        <f t="shared" si="52"/>
        <v>3.7000000000000005E-2</v>
      </c>
      <c r="AE280" s="59">
        <f t="shared" si="53"/>
        <v>0.98</v>
      </c>
      <c r="AF280" s="59">
        <f t="shared" si="54"/>
        <v>0.24981245311327835</v>
      </c>
      <c r="AG280" s="59">
        <f t="shared" si="55"/>
        <v>0.84970607106317297</v>
      </c>
      <c r="AH280" s="59">
        <f t="shared" si="56"/>
        <v>0.83615254237288128</v>
      </c>
    </row>
    <row r="281" spans="1:35" ht="18" customHeight="1" x14ac:dyDescent="0.3">
      <c r="A281" s="56">
        <v>3580</v>
      </c>
      <c r="B281" s="23" t="s">
        <v>594</v>
      </c>
      <c r="C281" s="14">
        <v>1997</v>
      </c>
      <c r="D281" s="18" t="str">
        <f>VLOOKUP(A281, '전체 목록(n=66)'!C:F, 4, FALSE)</f>
        <v>미국</v>
      </c>
      <c r="E281" s="6">
        <f t="shared" si="62"/>
        <v>177</v>
      </c>
      <c r="F281" s="6" t="s">
        <v>97</v>
      </c>
      <c r="G281" s="6">
        <v>27</v>
      </c>
      <c r="H281" s="6" t="s">
        <v>98</v>
      </c>
      <c r="I281" s="6">
        <v>150</v>
      </c>
      <c r="J281" s="6" t="s">
        <v>95</v>
      </c>
      <c r="K281" s="6" t="s">
        <v>167</v>
      </c>
      <c r="L281" s="19"/>
      <c r="M281" s="19"/>
      <c r="N281" s="19"/>
      <c r="O281" s="19"/>
      <c r="P281" s="19">
        <v>33.299999999999997</v>
      </c>
      <c r="Q281" s="19">
        <v>88.7</v>
      </c>
      <c r="R281" s="19">
        <v>34.6</v>
      </c>
      <c r="S281" s="19">
        <v>88.1</v>
      </c>
      <c r="T281" s="19"/>
      <c r="U281" s="19"/>
      <c r="V281" s="19"/>
      <c r="W281" s="19"/>
      <c r="X281" s="19"/>
      <c r="Y281" s="19"/>
      <c r="Z281" s="58">
        <f t="shared" si="57"/>
        <v>8.9909999999999997</v>
      </c>
      <c r="AA281" s="58">
        <f t="shared" si="58"/>
        <v>16.949999999999989</v>
      </c>
      <c r="AB281" s="58">
        <f t="shared" si="59"/>
        <v>18.009</v>
      </c>
      <c r="AC281" s="58">
        <f t="shared" si="60"/>
        <v>133.05000000000001</v>
      </c>
      <c r="AD281" s="59">
        <f t="shared" si="52"/>
        <v>0.33299999999999996</v>
      </c>
      <c r="AE281" s="59">
        <f t="shared" si="53"/>
        <v>0.88700000000000012</v>
      </c>
      <c r="AF281" s="59">
        <f t="shared" si="54"/>
        <v>0.34659419451833018</v>
      </c>
      <c r="AG281" s="59">
        <f t="shared" si="55"/>
        <v>0.88078168132981149</v>
      </c>
      <c r="AH281" s="59">
        <f t="shared" si="56"/>
        <v>0.80249152542372881</v>
      </c>
    </row>
    <row r="282" spans="1:35" ht="18" customHeight="1" x14ac:dyDescent="0.3">
      <c r="A282" s="56">
        <v>3580</v>
      </c>
      <c r="B282" s="23" t="s">
        <v>594</v>
      </c>
      <c r="C282" s="14">
        <v>1997</v>
      </c>
      <c r="D282" s="18" t="str">
        <f>VLOOKUP(A282, '전체 목록(n=66)'!C:F, 4, FALSE)</f>
        <v>미국</v>
      </c>
      <c r="E282" s="6">
        <f t="shared" si="62"/>
        <v>177</v>
      </c>
      <c r="F282" s="6" t="s">
        <v>97</v>
      </c>
      <c r="G282" s="6">
        <v>27</v>
      </c>
      <c r="H282" s="6" t="s">
        <v>98</v>
      </c>
      <c r="I282" s="6">
        <v>150</v>
      </c>
      <c r="J282" s="6" t="s">
        <v>51</v>
      </c>
      <c r="K282" s="6" t="s">
        <v>167</v>
      </c>
      <c r="L282" s="19"/>
      <c r="M282" s="19"/>
      <c r="N282" s="19"/>
      <c r="O282" s="19"/>
      <c r="P282" s="19">
        <v>0</v>
      </c>
      <c r="Q282" s="19">
        <v>100</v>
      </c>
      <c r="R282" s="19">
        <v>0</v>
      </c>
      <c r="S282" s="19">
        <v>84.7</v>
      </c>
      <c r="T282" s="19"/>
      <c r="U282" s="19"/>
      <c r="V282" s="19"/>
      <c r="W282" s="19"/>
      <c r="X282" s="19"/>
      <c r="Y282" s="19"/>
      <c r="Z282" s="58">
        <f t="shared" si="57"/>
        <v>0</v>
      </c>
      <c r="AA282" s="58">
        <f t="shared" si="58"/>
        <v>0</v>
      </c>
      <c r="AB282" s="58">
        <f t="shared" si="59"/>
        <v>27</v>
      </c>
      <c r="AC282" s="58">
        <f t="shared" si="60"/>
        <v>150</v>
      </c>
      <c r="AD282" s="59">
        <f t="shared" si="52"/>
        <v>0</v>
      </c>
      <c r="AE282" s="59">
        <f t="shared" si="53"/>
        <v>1</v>
      </c>
      <c r="AF282" s="71" t="e">
        <f t="shared" si="54"/>
        <v>#DIV/0!</v>
      </c>
      <c r="AG282" s="59">
        <f t="shared" si="55"/>
        <v>0.84745762711864403</v>
      </c>
      <c r="AH282" s="59">
        <f t="shared" si="56"/>
        <v>0.84745762711864403</v>
      </c>
    </row>
    <row r="283" spans="1:35" ht="18" customHeight="1" x14ac:dyDescent="0.3">
      <c r="A283" s="56">
        <v>3580</v>
      </c>
      <c r="B283" s="23" t="s">
        <v>594</v>
      </c>
      <c r="C283" s="14">
        <v>1997</v>
      </c>
      <c r="D283" s="18" t="str">
        <f>VLOOKUP(A283, '전체 목록(n=66)'!C:F, 4, FALSE)</f>
        <v>미국</v>
      </c>
      <c r="E283" s="6">
        <f t="shared" si="62"/>
        <v>177</v>
      </c>
      <c r="F283" s="6" t="s">
        <v>97</v>
      </c>
      <c r="G283" s="6">
        <v>27</v>
      </c>
      <c r="H283" s="6" t="s">
        <v>98</v>
      </c>
      <c r="I283" s="6">
        <v>150</v>
      </c>
      <c r="J283" s="6" t="s">
        <v>95</v>
      </c>
      <c r="K283" s="6" t="s">
        <v>167</v>
      </c>
      <c r="L283" s="19"/>
      <c r="M283" s="19"/>
      <c r="N283" s="19"/>
      <c r="O283" s="19"/>
      <c r="P283" s="19">
        <v>14.8</v>
      </c>
      <c r="Q283" s="19">
        <v>96.7</v>
      </c>
      <c r="R283" s="19">
        <v>44.4</v>
      </c>
      <c r="S283" s="19">
        <v>86.3</v>
      </c>
      <c r="T283" s="19"/>
      <c r="U283" s="19"/>
      <c r="V283" s="19"/>
      <c r="W283" s="19"/>
      <c r="X283" s="19"/>
      <c r="Y283" s="19"/>
      <c r="Z283" s="58">
        <f t="shared" si="57"/>
        <v>3.9960000000000004</v>
      </c>
      <c r="AA283" s="58">
        <f t="shared" si="58"/>
        <v>4.9499999999999886</v>
      </c>
      <c r="AB283" s="58">
        <f t="shared" si="59"/>
        <v>23.003999999999998</v>
      </c>
      <c r="AC283" s="58">
        <f t="shared" si="60"/>
        <v>145.05000000000001</v>
      </c>
      <c r="AD283" s="59">
        <f t="shared" si="52"/>
        <v>0.14800000000000002</v>
      </c>
      <c r="AE283" s="59">
        <f t="shared" si="53"/>
        <v>0.96700000000000008</v>
      </c>
      <c r="AF283" s="59">
        <f t="shared" si="54"/>
        <v>0.44668008048289798</v>
      </c>
      <c r="AG283" s="59">
        <f t="shared" si="55"/>
        <v>0.86311542718411949</v>
      </c>
      <c r="AH283" s="59">
        <f t="shared" si="56"/>
        <v>0.84206779661016962</v>
      </c>
    </row>
    <row r="284" spans="1:35" ht="18" customHeight="1" x14ac:dyDescent="0.3">
      <c r="A284" s="56">
        <v>3580</v>
      </c>
      <c r="B284" s="23" t="s">
        <v>594</v>
      </c>
      <c r="C284" s="14">
        <v>1997</v>
      </c>
      <c r="D284" s="18" t="str">
        <f>VLOOKUP(A284, '전체 목록(n=66)'!C:F, 4, FALSE)</f>
        <v>미국</v>
      </c>
      <c r="E284" s="6">
        <f t="shared" si="62"/>
        <v>177</v>
      </c>
      <c r="F284" s="6" t="s">
        <v>97</v>
      </c>
      <c r="G284" s="6">
        <v>27</v>
      </c>
      <c r="H284" s="6" t="s">
        <v>98</v>
      </c>
      <c r="I284" s="6">
        <v>150</v>
      </c>
      <c r="J284" s="6" t="s">
        <v>39</v>
      </c>
      <c r="K284" s="6" t="s">
        <v>277</v>
      </c>
      <c r="L284" s="19"/>
      <c r="M284" s="19"/>
      <c r="N284" s="19"/>
      <c r="O284" s="19"/>
      <c r="P284" s="19">
        <v>74.099999999999994</v>
      </c>
      <c r="Q284" s="19">
        <v>92.7</v>
      </c>
      <c r="R284" s="19">
        <v>64.5</v>
      </c>
      <c r="S284" s="19">
        <v>95.2</v>
      </c>
      <c r="T284" s="19"/>
      <c r="U284" s="19"/>
      <c r="V284" s="19"/>
      <c r="W284" s="19"/>
      <c r="X284" s="19"/>
      <c r="Y284" s="19"/>
      <c r="Z284" s="58">
        <f t="shared" si="57"/>
        <v>20.006999999999998</v>
      </c>
      <c r="AA284" s="58">
        <f t="shared" si="58"/>
        <v>10.949999999999989</v>
      </c>
      <c r="AB284" s="58">
        <f t="shared" si="59"/>
        <v>6.9930000000000021</v>
      </c>
      <c r="AC284" s="58">
        <f t="shared" si="60"/>
        <v>139.05000000000001</v>
      </c>
      <c r="AD284" s="59">
        <f t="shared" si="52"/>
        <v>0.74099999999999988</v>
      </c>
      <c r="AE284" s="59">
        <f t="shared" si="53"/>
        <v>0.92700000000000005</v>
      </c>
      <c r="AF284" s="59">
        <f t="shared" si="54"/>
        <v>0.64628355460800491</v>
      </c>
      <c r="AG284" s="59">
        <f t="shared" si="55"/>
        <v>0.95211684229987059</v>
      </c>
      <c r="AH284" s="59">
        <f t="shared" si="56"/>
        <v>0.89862711864406786</v>
      </c>
    </row>
    <row r="285" spans="1:35" ht="18" customHeight="1" x14ac:dyDescent="0.3">
      <c r="A285" s="56">
        <v>3580</v>
      </c>
      <c r="B285" s="23" t="s">
        <v>594</v>
      </c>
      <c r="C285" s="14">
        <v>1997</v>
      </c>
      <c r="D285" s="18" t="str">
        <f>VLOOKUP(A285, '전체 목록(n=66)'!C:F, 4, FALSE)</f>
        <v>미국</v>
      </c>
      <c r="E285" s="6">
        <f t="shared" si="62"/>
        <v>177</v>
      </c>
      <c r="F285" s="6" t="s">
        <v>97</v>
      </c>
      <c r="G285" s="6">
        <v>27</v>
      </c>
      <c r="H285" s="6" t="s">
        <v>98</v>
      </c>
      <c r="I285" s="6">
        <v>150</v>
      </c>
      <c r="J285" s="6" t="s">
        <v>298</v>
      </c>
      <c r="K285" s="6" t="s">
        <v>277</v>
      </c>
      <c r="L285" s="19"/>
      <c r="M285" s="19"/>
      <c r="N285" s="19"/>
      <c r="O285" s="19"/>
      <c r="P285" s="19">
        <v>7.4</v>
      </c>
      <c r="Q285" s="19">
        <v>98</v>
      </c>
      <c r="R285" s="19">
        <v>40</v>
      </c>
      <c r="S285" s="19">
        <v>85.5</v>
      </c>
      <c r="T285" s="19"/>
      <c r="U285" s="19"/>
      <c r="V285" s="19"/>
      <c r="W285" s="19"/>
      <c r="X285" s="19"/>
      <c r="Y285" s="19"/>
      <c r="Z285" s="58">
        <f t="shared" si="57"/>
        <v>1.9980000000000002</v>
      </c>
      <c r="AA285" s="58">
        <f t="shared" si="58"/>
        <v>3</v>
      </c>
      <c r="AB285" s="58">
        <f t="shared" si="59"/>
        <v>25.001999999999999</v>
      </c>
      <c r="AC285" s="58">
        <f t="shared" si="60"/>
        <v>147</v>
      </c>
      <c r="AD285" s="59">
        <f t="shared" si="52"/>
        <v>7.400000000000001E-2</v>
      </c>
      <c r="AE285" s="59">
        <f t="shared" si="53"/>
        <v>0.98</v>
      </c>
      <c r="AF285" s="59">
        <f t="shared" si="54"/>
        <v>0.39975990396158467</v>
      </c>
      <c r="AG285" s="59">
        <f t="shared" si="55"/>
        <v>0.85464122510203366</v>
      </c>
      <c r="AH285" s="59">
        <f t="shared" si="56"/>
        <v>0.84179661016949148</v>
      </c>
    </row>
    <row r="286" spans="1:35" ht="18" customHeight="1" x14ac:dyDescent="0.3">
      <c r="A286" s="56">
        <v>3580</v>
      </c>
      <c r="B286" s="23" t="s">
        <v>594</v>
      </c>
      <c r="C286" s="14">
        <v>1997</v>
      </c>
      <c r="D286" s="18" t="str">
        <f>VLOOKUP(A286, '전체 목록(n=66)'!C:F, 4, FALSE)</f>
        <v>미국</v>
      </c>
      <c r="E286" s="6">
        <f t="shared" si="62"/>
        <v>177</v>
      </c>
      <c r="F286" s="6" t="s">
        <v>97</v>
      </c>
      <c r="G286" s="6">
        <v>27</v>
      </c>
      <c r="H286" s="6" t="s">
        <v>98</v>
      </c>
      <c r="I286" s="6">
        <v>150</v>
      </c>
      <c r="J286" s="6" t="s">
        <v>299</v>
      </c>
      <c r="K286" s="6" t="s">
        <v>277</v>
      </c>
      <c r="L286" s="19"/>
      <c r="M286" s="19"/>
      <c r="N286" s="19"/>
      <c r="O286" s="19"/>
      <c r="P286" s="19">
        <v>33.299999999999997</v>
      </c>
      <c r="Q286" s="19">
        <v>87.3</v>
      </c>
      <c r="R286" s="19">
        <v>32.1</v>
      </c>
      <c r="S286" s="19">
        <v>87.9</v>
      </c>
      <c r="T286" s="19"/>
      <c r="U286" s="19"/>
      <c r="V286" s="19"/>
      <c r="W286" s="19"/>
      <c r="X286" s="19"/>
      <c r="Y286" s="19"/>
      <c r="Z286" s="58">
        <f t="shared" si="57"/>
        <v>8.9909999999999997</v>
      </c>
      <c r="AA286" s="58">
        <f t="shared" si="58"/>
        <v>19.050000000000011</v>
      </c>
      <c r="AB286" s="58">
        <f t="shared" si="59"/>
        <v>18.009</v>
      </c>
      <c r="AC286" s="58">
        <f t="shared" si="60"/>
        <v>130.94999999999999</v>
      </c>
      <c r="AD286" s="59">
        <f t="shared" si="52"/>
        <v>0.33299999999999996</v>
      </c>
      <c r="AE286" s="59">
        <f t="shared" si="53"/>
        <v>0.87299999999999989</v>
      </c>
      <c r="AF286" s="59">
        <f t="shared" si="54"/>
        <v>0.32063763774473081</v>
      </c>
      <c r="AG286" s="59">
        <f t="shared" si="55"/>
        <v>0.87910096066702914</v>
      </c>
      <c r="AH286" s="59">
        <f t="shared" si="56"/>
        <v>0.79062711864406765</v>
      </c>
    </row>
    <row r="287" spans="1:35" ht="18" customHeight="1" x14ac:dyDescent="0.3">
      <c r="A287" s="56">
        <v>3580</v>
      </c>
      <c r="B287" s="23" t="s">
        <v>594</v>
      </c>
      <c r="C287" s="14">
        <v>1997</v>
      </c>
      <c r="D287" s="18" t="str">
        <f>VLOOKUP(A287, '전체 목록(n=66)'!C:F, 4, FALSE)</f>
        <v>미국</v>
      </c>
      <c r="E287" s="6">
        <f t="shared" si="62"/>
        <v>177</v>
      </c>
      <c r="F287" s="6" t="s">
        <v>97</v>
      </c>
      <c r="G287" s="6">
        <v>27</v>
      </c>
      <c r="H287" s="6" t="s">
        <v>98</v>
      </c>
      <c r="I287" s="6">
        <v>150</v>
      </c>
      <c r="J287" s="6" t="s">
        <v>300</v>
      </c>
      <c r="K287" s="6" t="s">
        <v>277</v>
      </c>
      <c r="L287" s="19"/>
      <c r="M287" s="19"/>
      <c r="N287" s="19"/>
      <c r="O287" s="19"/>
      <c r="P287" s="19">
        <v>0</v>
      </c>
      <c r="Q287" s="19">
        <v>100</v>
      </c>
      <c r="R287" s="19">
        <v>0</v>
      </c>
      <c r="S287" s="19">
        <v>84.7</v>
      </c>
      <c r="T287" s="19"/>
      <c r="U287" s="19"/>
      <c r="V287" s="19"/>
      <c r="W287" s="19"/>
      <c r="X287" s="19"/>
      <c r="Y287" s="19"/>
      <c r="Z287" s="58">
        <f t="shared" si="57"/>
        <v>0</v>
      </c>
      <c r="AA287" s="58">
        <f t="shared" si="58"/>
        <v>0</v>
      </c>
      <c r="AB287" s="58">
        <f t="shared" si="59"/>
        <v>27</v>
      </c>
      <c r="AC287" s="58">
        <f t="shared" si="60"/>
        <v>150</v>
      </c>
      <c r="AD287" s="59">
        <f t="shared" si="52"/>
        <v>0</v>
      </c>
      <c r="AE287" s="59">
        <f t="shared" si="53"/>
        <v>1</v>
      </c>
      <c r="AF287" s="71" t="e">
        <f t="shared" si="54"/>
        <v>#DIV/0!</v>
      </c>
      <c r="AG287" s="59">
        <f t="shared" si="55"/>
        <v>0.84745762711864403</v>
      </c>
      <c r="AH287" s="59">
        <f t="shared" si="56"/>
        <v>0.84745762711864403</v>
      </c>
    </row>
    <row r="288" spans="1:35" ht="18" customHeight="1" x14ac:dyDescent="0.3">
      <c r="A288" s="56">
        <v>3580</v>
      </c>
      <c r="B288" s="23" t="s">
        <v>594</v>
      </c>
      <c r="C288" s="14">
        <v>1997</v>
      </c>
      <c r="D288" s="18" t="str">
        <f>VLOOKUP(A288, '전체 목록(n=66)'!C:F, 4, FALSE)</f>
        <v>미국</v>
      </c>
      <c r="E288" s="6">
        <f t="shared" si="62"/>
        <v>177</v>
      </c>
      <c r="F288" s="6" t="s">
        <v>97</v>
      </c>
      <c r="G288" s="6">
        <v>27</v>
      </c>
      <c r="H288" s="6" t="s">
        <v>98</v>
      </c>
      <c r="I288" s="6">
        <v>150</v>
      </c>
      <c r="J288" s="6" t="s">
        <v>301</v>
      </c>
      <c r="K288" s="6" t="s">
        <v>277</v>
      </c>
      <c r="L288" s="19"/>
      <c r="M288" s="19"/>
      <c r="N288" s="19"/>
      <c r="O288" s="19"/>
      <c r="P288" s="19">
        <v>22.2</v>
      </c>
      <c r="Q288" s="19">
        <v>96</v>
      </c>
      <c r="R288" s="19">
        <v>50</v>
      </c>
      <c r="S288" s="19">
        <v>87.3</v>
      </c>
      <c r="T288" s="19"/>
      <c r="U288" s="19"/>
      <c r="V288" s="19"/>
      <c r="W288" s="19"/>
      <c r="X288" s="19"/>
      <c r="Y288" s="19"/>
      <c r="Z288" s="58">
        <f t="shared" si="57"/>
        <v>5.9939999999999998</v>
      </c>
      <c r="AA288" s="58">
        <f t="shared" si="58"/>
        <v>6</v>
      </c>
      <c r="AB288" s="58">
        <f t="shared" si="59"/>
        <v>21.006</v>
      </c>
      <c r="AC288" s="58">
        <f t="shared" si="60"/>
        <v>144</v>
      </c>
      <c r="AD288" s="59">
        <f t="shared" si="52"/>
        <v>0.222</v>
      </c>
      <c r="AE288" s="59">
        <f t="shared" si="53"/>
        <v>0.96</v>
      </c>
      <c r="AF288" s="59">
        <f t="shared" si="54"/>
        <v>0.49974987493746875</v>
      </c>
      <c r="AG288" s="59">
        <f t="shared" si="55"/>
        <v>0.87269553834406022</v>
      </c>
      <c r="AH288" s="59">
        <f t="shared" si="56"/>
        <v>0.84742372881355932</v>
      </c>
    </row>
    <row r="289" spans="1:34" ht="18" customHeight="1" x14ac:dyDescent="0.3">
      <c r="A289" s="56">
        <v>3580</v>
      </c>
      <c r="B289" s="23" t="s">
        <v>594</v>
      </c>
      <c r="C289" s="14">
        <v>1997</v>
      </c>
      <c r="D289" s="18" t="str">
        <f>VLOOKUP(A289, '전체 목록(n=66)'!C:F, 4, FALSE)</f>
        <v>미국</v>
      </c>
      <c r="E289" s="6">
        <f t="shared" si="62"/>
        <v>177</v>
      </c>
      <c r="F289" s="6" t="s">
        <v>97</v>
      </c>
      <c r="G289" s="6">
        <v>27</v>
      </c>
      <c r="H289" s="6" t="s">
        <v>98</v>
      </c>
      <c r="I289" s="6">
        <v>150</v>
      </c>
      <c r="J289" s="6" t="s">
        <v>39</v>
      </c>
      <c r="K289" s="6" t="s">
        <v>168</v>
      </c>
      <c r="L289" s="19"/>
      <c r="M289" s="19"/>
      <c r="N289" s="19"/>
      <c r="O289" s="19"/>
      <c r="P289" s="19">
        <v>88.9</v>
      </c>
      <c r="Q289" s="19">
        <v>96</v>
      </c>
      <c r="R289" s="19">
        <v>80</v>
      </c>
      <c r="S289" s="19">
        <v>98</v>
      </c>
      <c r="T289" s="19"/>
      <c r="U289" s="19"/>
      <c r="V289" s="19"/>
      <c r="W289" s="19"/>
      <c r="X289" s="19"/>
      <c r="Y289" s="19"/>
      <c r="Z289" s="58">
        <f t="shared" si="57"/>
        <v>24.003</v>
      </c>
      <c r="AA289" s="58">
        <f t="shared" si="58"/>
        <v>6</v>
      </c>
      <c r="AB289" s="58">
        <f t="shared" si="59"/>
        <v>2.9969999999999999</v>
      </c>
      <c r="AC289" s="58">
        <f t="shared" si="60"/>
        <v>144</v>
      </c>
      <c r="AD289" s="59">
        <f t="shared" si="52"/>
        <v>0.88900000000000001</v>
      </c>
      <c r="AE289" s="59">
        <f t="shared" si="53"/>
        <v>0.96</v>
      </c>
      <c r="AF289" s="59">
        <f t="shared" si="54"/>
        <v>0.80001999800019996</v>
      </c>
      <c r="AG289" s="59">
        <f t="shared" si="55"/>
        <v>0.97961182881283282</v>
      </c>
      <c r="AH289" s="59">
        <f t="shared" si="56"/>
        <v>0.94916949152542363</v>
      </c>
    </row>
    <row r="290" spans="1:34" ht="18" customHeight="1" x14ac:dyDescent="0.3">
      <c r="A290" s="56">
        <v>3580</v>
      </c>
      <c r="B290" s="23" t="s">
        <v>594</v>
      </c>
      <c r="C290" s="14">
        <v>1997</v>
      </c>
      <c r="D290" s="18" t="str">
        <f>VLOOKUP(A290, '전체 목록(n=66)'!C:F, 4, FALSE)</f>
        <v>미국</v>
      </c>
      <c r="E290" s="6">
        <f t="shared" si="62"/>
        <v>177</v>
      </c>
      <c r="F290" s="6" t="s">
        <v>97</v>
      </c>
      <c r="G290" s="6">
        <v>27</v>
      </c>
      <c r="H290" s="6" t="s">
        <v>98</v>
      </c>
      <c r="I290" s="6">
        <v>150</v>
      </c>
      <c r="J290" s="6" t="s">
        <v>298</v>
      </c>
      <c r="K290" s="6" t="s">
        <v>168</v>
      </c>
      <c r="L290" s="19"/>
      <c r="M290" s="19"/>
      <c r="N290" s="19"/>
      <c r="O290" s="19"/>
      <c r="P290" s="19">
        <v>22.2</v>
      </c>
      <c r="Q290" s="19">
        <v>97.3</v>
      </c>
      <c r="R290" s="19">
        <v>60</v>
      </c>
      <c r="S290" s="19">
        <v>87.4</v>
      </c>
      <c r="T290" s="19"/>
      <c r="U290" s="19"/>
      <c r="V290" s="19"/>
      <c r="W290" s="19"/>
      <c r="X290" s="19"/>
      <c r="Y290" s="19"/>
      <c r="Z290" s="58">
        <f t="shared" si="57"/>
        <v>5.9939999999999998</v>
      </c>
      <c r="AA290" s="58">
        <f t="shared" si="58"/>
        <v>4.0500000000000114</v>
      </c>
      <c r="AB290" s="58">
        <f t="shared" si="59"/>
        <v>21.006</v>
      </c>
      <c r="AC290" s="58">
        <f t="shared" si="60"/>
        <v>145.94999999999999</v>
      </c>
      <c r="AD290" s="59">
        <f t="shared" si="52"/>
        <v>0.222</v>
      </c>
      <c r="AE290" s="59">
        <f t="shared" si="53"/>
        <v>0.97299999999999998</v>
      </c>
      <c r="AF290" s="59">
        <f t="shared" si="54"/>
        <v>0.59677419354838646</v>
      </c>
      <c r="AG290" s="59">
        <f t="shared" si="55"/>
        <v>0.87418241932006036</v>
      </c>
      <c r="AH290" s="59">
        <f t="shared" si="56"/>
        <v>0.85844067796610168</v>
      </c>
    </row>
    <row r="291" spans="1:34" ht="18" customHeight="1" x14ac:dyDescent="0.3">
      <c r="A291" s="56">
        <v>3580</v>
      </c>
      <c r="B291" s="23" t="s">
        <v>594</v>
      </c>
      <c r="C291" s="14">
        <v>1997</v>
      </c>
      <c r="D291" s="18" t="str">
        <f>VLOOKUP(A291, '전체 목록(n=66)'!C:F, 4, FALSE)</f>
        <v>미국</v>
      </c>
      <c r="E291" s="6">
        <f t="shared" si="62"/>
        <v>177</v>
      </c>
      <c r="F291" s="6" t="s">
        <v>97</v>
      </c>
      <c r="G291" s="6">
        <v>27</v>
      </c>
      <c r="H291" s="6" t="s">
        <v>98</v>
      </c>
      <c r="I291" s="6">
        <v>150</v>
      </c>
      <c r="J291" s="6" t="s">
        <v>299</v>
      </c>
      <c r="K291" s="6" t="s">
        <v>168</v>
      </c>
      <c r="L291" s="19"/>
      <c r="M291" s="19"/>
      <c r="N291" s="19"/>
      <c r="O291" s="19"/>
      <c r="P291" s="19">
        <v>59.3</v>
      </c>
      <c r="Q291" s="19">
        <v>86.7</v>
      </c>
      <c r="R291" s="19">
        <v>44.4</v>
      </c>
      <c r="S291" s="19">
        <v>92.2</v>
      </c>
      <c r="T291" s="19"/>
      <c r="U291" s="19"/>
      <c r="V291" s="19"/>
      <c r="W291" s="19"/>
      <c r="X291" s="19"/>
      <c r="Y291" s="19"/>
      <c r="Z291" s="58">
        <f t="shared" si="57"/>
        <v>16.010999999999999</v>
      </c>
      <c r="AA291" s="58">
        <f t="shared" si="58"/>
        <v>19.949999999999989</v>
      </c>
      <c r="AB291" s="58">
        <f t="shared" si="59"/>
        <v>10.989000000000001</v>
      </c>
      <c r="AC291" s="58">
        <f t="shared" si="60"/>
        <v>130.05000000000001</v>
      </c>
      <c r="AD291" s="59">
        <f t="shared" si="52"/>
        <v>0.59299999999999997</v>
      </c>
      <c r="AE291" s="59">
        <f t="shared" si="53"/>
        <v>0.8670000000000001</v>
      </c>
      <c r="AF291" s="59">
        <f t="shared" si="54"/>
        <v>0.44523233502961557</v>
      </c>
      <c r="AG291" s="59">
        <f t="shared" si="55"/>
        <v>0.9220853806393976</v>
      </c>
      <c r="AH291" s="59">
        <f t="shared" si="56"/>
        <v>0.82520338983050856</v>
      </c>
    </row>
    <row r="292" spans="1:34" ht="18" customHeight="1" x14ac:dyDescent="0.3">
      <c r="A292" s="56">
        <v>3580</v>
      </c>
      <c r="B292" s="23" t="s">
        <v>594</v>
      </c>
      <c r="C292" s="14">
        <v>1997</v>
      </c>
      <c r="D292" s="18" t="str">
        <f>VLOOKUP(A292, '전체 목록(n=66)'!C:F, 4, FALSE)</f>
        <v>미국</v>
      </c>
      <c r="E292" s="6">
        <f t="shared" si="62"/>
        <v>177</v>
      </c>
      <c r="F292" s="6" t="s">
        <v>97</v>
      </c>
      <c r="G292" s="6">
        <v>27</v>
      </c>
      <c r="H292" s="6" t="s">
        <v>98</v>
      </c>
      <c r="I292" s="6">
        <v>150</v>
      </c>
      <c r="J292" s="6" t="s">
        <v>300</v>
      </c>
      <c r="K292" s="6" t="s">
        <v>168</v>
      </c>
      <c r="L292" s="19"/>
      <c r="M292" s="19"/>
      <c r="N292" s="19"/>
      <c r="O292" s="19"/>
      <c r="P292" s="19">
        <v>3.7</v>
      </c>
      <c r="Q292" s="19">
        <v>100</v>
      </c>
      <c r="R292" s="19">
        <v>100</v>
      </c>
      <c r="S292" s="19">
        <v>85.2</v>
      </c>
      <c r="T292" s="19"/>
      <c r="U292" s="19"/>
      <c r="V292" s="19"/>
      <c r="W292" s="19"/>
      <c r="X292" s="19"/>
      <c r="Y292" s="19"/>
      <c r="Z292" s="58">
        <f t="shared" si="57"/>
        <v>0.99900000000000011</v>
      </c>
      <c r="AA292" s="58">
        <f t="shared" si="58"/>
        <v>0</v>
      </c>
      <c r="AB292" s="58">
        <f t="shared" si="59"/>
        <v>26.001000000000001</v>
      </c>
      <c r="AC292" s="58">
        <f t="shared" si="60"/>
        <v>150</v>
      </c>
      <c r="AD292" s="59">
        <f t="shared" si="52"/>
        <v>3.7000000000000005E-2</v>
      </c>
      <c r="AE292" s="59">
        <f t="shared" si="53"/>
        <v>1</v>
      </c>
      <c r="AF292" s="59">
        <f t="shared" si="54"/>
        <v>1</v>
      </c>
      <c r="AG292" s="59">
        <f t="shared" si="55"/>
        <v>0.85226788484156335</v>
      </c>
      <c r="AH292" s="59">
        <f t="shared" si="56"/>
        <v>0.85310169491525423</v>
      </c>
    </row>
    <row r="293" spans="1:34" ht="18" customHeight="1" x14ac:dyDescent="0.3">
      <c r="A293" s="56">
        <v>3580</v>
      </c>
      <c r="B293" s="23" t="s">
        <v>594</v>
      </c>
      <c r="C293" s="14">
        <v>1997</v>
      </c>
      <c r="D293" s="18" t="str">
        <f>VLOOKUP(A293, '전체 목록(n=66)'!C:F, 4, FALSE)</f>
        <v>미국</v>
      </c>
      <c r="E293" s="6">
        <f t="shared" si="62"/>
        <v>177</v>
      </c>
      <c r="F293" s="6" t="s">
        <v>97</v>
      </c>
      <c r="G293" s="6">
        <v>27</v>
      </c>
      <c r="H293" s="6" t="s">
        <v>98</v>
      </c>
      <c r="I293" s="6">
        <v>150</v>
      </c>
      <c r="J293" s="6" t="s">
        <v>301</v>
      </c>
      <c r="K293" s="6" t="s">
        <v>168</v>
      </c>
      <c r="L293" s="19"/>
      <c r="M293" s="19"/>
      <c r="N293" s="19"/>
      <c r="O293" s="19"/>
      <c r="P293" s="19">
        <v>33.299999999999997</v>
      </c>
      <c r="Q293" s="19">
        <v>95.3</v>
      </c>
      <c r="R293" s="19">
        <v>56.3</v>
      </c>
      <c r="S293" s="19">
        <v>88.8</v>
      </c>
      <c r="T293" s="19"/>
      <c r="U293" s="19"/>
      <c r="V293" s="19"/>
      <c r="W293" s="19"/>
      <c r="X293" s="19"/>
      <c r="Y293" s="19"/>
      <c r="Z293" s="58">
        <f t="shared" si="57"/>
        <v>8.9909999999999997</v>
      </c>
      <c r="AA293" s="58">
        <f t="shared" si="58"/>
        <v>7.0500000000000114</v>
      </c>
      <c r="AB293" s="58">
        <f t="shared" si="59"/>
        <v>18.009</v>
      </c>
      <c r="AC293" s="58">
        <f t="shared" si="60"/>
        <v>142.94999999999999</v>
      </c>
      <c r="AD293" s="59">
        <f t="shared" si="52"/>
        <v>0.33299999999999996</v>
      </c>
      <c r="AE293" s="59">
        <f t="shared" si="53"/>
        <v>0.95299999999999996</v>
      </c>
      <c r="AF293" s="59">
        <f t="shared" si="54"/>
        <v>0.56050121563493505</v>
      </c>
      <c r="AG293" s="59">
        <f t="shared" si="55"/>
        <v>0.8881143645276125</v>
      </c>
      <c r="AH293" s="59">
        <f t="shared" si="56"/>
        <v>0.85842372881355922</v>
      </c>
    </row>
    <row r="294" spans="1:34" ht="18" customHeight="1" x14ac:dyDescent="0.3">
      <c r="A294" s="56">
        <v>3580</v>
      </c>
      <c r="B294" s="23" t="s">
        <v>594</v>
      </c>
      <c r="C294" s="14">
        <v>1997</v>
      </c>
      <c r="D294" s="18" t="str">
        <f>VLOOKUP(A294, '전체 목록(n=66)'!C:F, 4, FALSE)</f>
        <v>미국</v>
      </c>
      <c r="E294" s="6">
        <f t="shared" si="62"/>
        <v>177</v>
      </c>
      <c r="F294" s="6" t="s">
        <v>97</v>
      </c>
      <c r="G294" s="6">
        <v>27</v>
      </c>
      <c r="H294" s="6" t="s">
        <v>98</v>
      </c>
      <c r="I294" s="6">
        <v>150</v>
      </c>
      <c r="J294" s="6" t="s">
        <v>39</v>
      </c>
      <c r="K294" s="6" t="s">
        <v>166</v>
      </c>
      <c r="L294" s="19"/>
      <c r="M294" s="19"/>
      <c r="N294" s="19"/>
      <c r="O294" s="19"/>
      <c r="P294" s="19">
        <v>81.5</v>
      </c>
      <c r="Q294" s="19">
        <v>96.7</v>
      </c>
      <c r="R294" s="19">
        <v>81.5</v>
      </c>
      <c r="S294" s="19">
        <v>96.7</v>
      </c>
      <c r="T294" s="19"/>
      <c r="U294" s="19"/>
      <c r="V294" s="19"/>
      <c r="W294" s="19"/>
      <c r="X294" s="19"/>
      <c r="Y294" s="19"/>
      <c r="Z294" s="58">
        <f t="shared" si="57"/>
        <v>22.004999999999999</v>
      </c>
      <c r="AA294" s="58">
        <f t="shared" si="58"/>
        <v>4.9499999999999886</v>
      </c>
      <c r="AB294" s="58">
        <f t="shared" si="59"/>
        <v>4.995000000000001</v>
      </c>
      <c r="AC294" s="58">
        <f t="shared" si="60"/>
        <v>145.05000000000001</v>
      </c>
      <c r="AD294" s="59">
        <f t="shared" si="52"/>
        <v>0.81499999999999995</v>
      </c>
      <c r="AE294" s="59">
        <f t="shared" si="53"/>
        <v>0.96700000000000008</v>
      </c>
      <c r="AF294" s="59">
        <f t="shared" si="54"/>
        <v>0.81636060100166974</v>
      </c>
      <c r="AG294" s="59">
        <f t="shared" si="55"/>
        <v>0.96670998700389876</v>
      </c>
      <c r="AH294" s="59">
        <f t="shared" si="56"/>
        <v>0.94381355932203392</v>
      </c>
    </row>
    <row r="295" spans="1:34" ht="18" customHeight="1" x14ac:dyDescent="0.3">
      <c r="A295" s="56">
        <v>3580</v>
      </c>
      <c r="B295" s="23" t="s">
        <v>594</v>
      </c>
      <c r="C295" s="14">
        <v>1997</v>
      </c>
      <c r="D295" s="18" t="str">
        <f>VLOOKUP(A295, '전체 목록(n=66)'!C:F, 4, FALSE)</f>
        <v>미국</v>
      </c>
      <c r="E295" s="6">
        <f t="shared" si="62"/>
        <v>177</v>
      </c>
      <c r="F295" s="6" t="s">
        <v>97</v>
      </c>
      <c r="G295" s="6">
        <v>27</v>
      </c>
      <c r="H295" s="6" t="s">
        <v>98</v>
      </c>
      <c r="I295" s="6">
        <v>150</v>
      </c>
      <c r="J295" s="6" t="s">
        <v>298</v>
      </c>
      <c r="K295" s="6" t="s">
        <v>166</v>
      </c>
      <c r="L295" s="19"/>
      <c r="M295" s="19"/>
      <c r="N295" s="19"/>
      <c r="O295" s="19"/>
      <c r="P295" s="19">
        <v>81.5</v>
      </c>
      <c r="Q295" s="19">
        <v>98</v>
      </c>
      <c r="R295" s="19">
        <v>88</v>
      </c>
      <c r="S295" s="19">
        <v>96.7</v>
      </c>
      <c r="T295" s="19"/>
      <c r="U295" s="19"/>
      <c r="V295" s="19"/>
      <c r="W295" s="19"/>
      <c r="X295" s="19"/>
      <c r="Y295" s="19"/>
      <c r="Z295" s="58">
        <f t="shared" si="57"/>
        <v>22.004999999999999</v>
      </c>
      <c r="AA295" s="58">
        <f t="shared" si="58"/>
        <v>3</v>
      </c>
      <c r="AB295" s="58">
        <f t="shared" si="59"/>
        <v>4.995000000000001</v>
      </c>
      <c r="AC295" s="58">
        <f t="shared" si="60"/>
        <v>147</v>
      </c>
      <c r="AD295" s="59">
        <f t="shared" si="52"/>
        <v>0.81499999999999995</v>
      </c>
      <c r="AE295" s="59">
        <f t="shared" si="53"/>
        <v>0.98</v>
      </c>
      <c r="AF295" s="59">
        <f t="shared" si="54"/>
        <v>0.88002399520095975</v>
      </c>
      <c r="AG295" s="59">
        <f t="shared" si="55"/>
        <v>0.96713707687752881</v>
      </c>
      <c r="AH295" s="59">
        <f t="shared" si="56"/>
        <v>0.95483050847457629</v>
      </c>
    </row>
    <row r="296" spans="1:34" ht="18" customHeight="1" x14ac:dyDescent="0.3">
      <c r="A296" s="56">
        <v>3580</v>
      </c>
      <c r="B296" s="23" t="s">
        <v>594</v>
      </c>
      <c r="C296" s="14">
        <v>1997</v>
      </c>
      <c r="D296" s="18" t="str">
        <f>VLOOKUP(A296, '전체 목록(n=66)'!C:F, 4, FALSE)</f>
        <v>미국</v>
      </c>
      <c r="E296" s="6">
        <f t="shared" si="62"/>
        <v>177</v>
      </c>
      <c r="F296" s="6" t="s">
        <v>97</v>
      </c>
      <c r="G296" s="6">
        <v>27</v>
      </c>
      <c r="H296" s="6" t="s">
        <v>98</v>
      </c>
      <c r="I296" s="6">
        <v>150</v>
      </c>
      <c r="J296" s="6" t="s">
        <v>299</v>
      </c>
      <c r="K296" s="6" t="s">
        <v>166</v>
      </c>
      <c r="L296" s="19"/>
      <c r="M296" s="19"/>
      <c r="N296" s="19"/>
      <c r="O296" s="19"/>
      <c r="P296" s="19">
        <v>88.9</v>
      </c>
      <c r="Q296" s="19">
        <v>84</v>
      </c>
      <c r="R296" s="19">
        <v>50</v>
      </c>
      <c r="S296" s="19">
        <v>97.7</v>
      </c>
      <c r="T296" s="19"/>
      <c r="U296" s="19"/>
      <c r="V296" s="19"/>
      <c r="W296" s="19"/>
      <c r="X296" s="19"/>
      <c r="Y296" s="19"/>
      <c r="Z296" s="58">
        <f t="shared" si="57"/>
        <v>24.003</v>
      </c>
      <c r="AA296" s="58">
        <f t="shared" si="58"/>
        <v>24</v>
      </c>
      <c r="AB296" s="58">
        <f t="shared" si="59"/>
        <v>2.9969999999999999</v>
      </c>
      <c r="AC296" s="58">
        <f t="shared" si="60"/>
        <v>126</v>
      </c>
      <c r="AD296" s="59">
        <f t="shared" si="52"/>
        <v>0.88900000000000001</v>
      </c>
      <c r="AE296" s="59">
        <f t="shared" si="53"/>
        <v>0.84</v>
      </c>
      <c r="AF296" s="59">
        <f t="shared" si="54"/>
        <v>0.50003124804699706</v>
      </c>
      <c r="AG296" s="59">
        <f t="shared" si="55"/>
        <v>0.97676690155585</v>
      </c>
      <c r="AH296" s="59">
        <f t="shared" si="56"/>
        <v>0.84747457627118639</v>
      </c>
    </row>
    <row r="297" spans="1:34" ht="18" customHeight="1" x14ac:dyDescent="0.3">
      <c r="A297" s="56">
        <v>3580</v>
      </c>
      <c r="B297" s="23" t="s">
        <v>594</v>
      </c>
      <c r="C297" s="14">
        <v>1997</v>
      </c>
      <c r="D297" s="18" t="str">
        <f>VLOOKUP(A297, '전체 목록(n=66)'!C:F, 4, FALSE)</f>
        <v>미국</v>
      </c>
      <c r="E297" s="6">
        <f t="shared" si="62"/>
        <v>177</v>
      </c>
      <c r="F297" s="6" t="s">
        <v>97</v>
      </c>
      <c r="G297" s="6">
        <v>27</v>
      </c>
      <c r="H297" s="6" t="s">
        <v>98</v>
      </c>
      <c r="I297" s="6">
        <v>150</v>
      </c>
      <c r="J297" s="6" t="s">
        <v>300</v>
      </c>
      <c r="K297" s="6" t="s">
        <v>166</v>
      </c>
      <c r="L297" s="19"/>
      <c r="M297" s="19"/>
      <c r="N297" s="19"/>
      <c r="O297" s="19"/>
      <c r="P297" s="19">
        <v>63</v>
      </c>
      <c r="Q297" s="19">
        <v>99.3</v>
      </c>
      <c r="R297" s="19">
        <v>94.4</v>
      </c>
      <c r="S297" s="19">
        <v>93.7</v>
      </c>
      <c r="T297" s="19"/>
      <c r="U297" s="19"/>
      <c r="V297" s="19"/>
      <c r="W297" s="19"/>
      <c r="X297" s="19"/>
      <c r="Y297" s="19"/>
      <c r="Z297" s="58">
        <f t="shared" si="57"/>
        <v>17.010000000000002</v>
      </c>
      <c r="AA297" s="58">
        <f t="shared" si="58"/>
        <v>1.0500000000000114</v>
      </c>
      <c r="AB297" s="58">
        <f t="shared" si="59"/>
        <v>9.9899999999999984</v>
      </c>
      <c r="AC297" s="58">
        <f t="shared" si="60"/>
        <v>148.94999999999999</v>
      </c>
      <c r="AD297" s="59">
        <f t="shared" si="52"/>
        <v>0.63</v>
      </c>
      <c r="AE297" s="59">
        <f t="shared" si="53"/>
        <v>0.99299999999999988</v>
      </c>
      <c r="AF297" s="59">
        <f t="shared" si="54"/>
        <v>0.94186046511627852</v>
      </c>
      <c r="AG297" s="59">
        <f t="shared" si="55"/>
        <v>0.93714609286523209</v>
      </c>
      <c r="AH297" s="59">
        <f t="shared" si="56"/>
        <v>0.93762711864406767</v>
      </c>
    </row>
    <row r="298" spans="1:34" ht="18" customHeight="1" x14ac:dyDescent="0.3">
      <c r="A298" s="56">
        <v>3580</v>
      </c>
      <c r="B298" s="23" t="s">
        <v>594</v>
      </c>
      <c r="C298" s="14">
        <v>1997</v>
      </c>
      <c r="D298" s="18" t="str">
        <f>VLOOKUP(A298, '전체 목록(n=66)'!C:F, 4, FALSE)</f>
        <v>미국</v>
      </c>
      <c r="E298" s="6">
        <f t="shared" si="62"/>
        <v>177</v>
      </c>
      <c r="F298" s="6" t="s">
        <v>97</v>
      </c>
      <c r="G298" s="6">
        <v>27</v>
      </c>
      <c r="H298" s="6" t="s">
        <v>98</v>
      </c>
      <c r="I298" s="6">
        <v>150</v>
      </c>
      <c r="J298" s="6" t="s">
        <v>301</v>
      </c>
      <c r="K298" s="6" t="s">
        <v>166</v>
      </c>
      <c r="L298" s="19"/>
      <c r="M298" s="19"/>
      <c r="N298" s="19"/>
      <c r="O298" s="19"/>
      <c r="P298" s="19">
        <v>77.8</v>
      </c>
      <c r="Q298" s="19">
        <v>92.7</v>
      </c>
      <c r="R298" s="19">
        <v>65.599999999999994</v>
      </c>
      <c r="S298" s="19">
        <v>95.9</v>
      </c>
      <c r="T298" s="19"/>
      <c r="U298" s="19"/>
      <c r="V298" s="19"/>
      <c r="W298" s="19"/>
      <c r="X298" s="19"/>
      <c r="Y298" s="19"/>
      <c r="Z298" s="58">
        <f t="shared" si="57"/>
        <v>21.006</v>
      </c>
      <c r="AA298" s="58">
        <f t="shared" si="58"/>
        <v>10.949999999999989</v>
      </c>
      <c r="AB298" s="58">
        <f t="shared" si="59"/>
        <v>5.9939999999999998</v>
      </c>
      <c r="AC298" s="58">
        <f t="shared" si="60"/>
        <v>139.05000000000001</v>
      </c>
      <c r="AD298" s="59">
        <f t="shared" si="52"/>
        <v>0.77800000000000002</v>
      </c>
      <c r="AE298" s="59">
        <f t="shared" si="53"/>
        <v>0.92700000000000005</v>
      </c>
      <c r="AF298" s="59">
        <f t="shared" si="54"/>
        <v>0.65734134434847935</v>
      </c>
      <c r="AG298" s="59">
        <f t="shared" si="55"/>
        <v>0.95867460908414004</v>
      </c>
      <c r="AH298" s="59">
        <f t="shared" si="56"/>
        <v>0.90427118644067805</v>
      </c>
    </row>
    <row r="299" spans="1:34" ht="18" customHeight="1" x14ac:dyDescent="0.3">
      <c r="A299" s="56">
        <v>3580</v>
      </c>
      <c r="B299" s="23" t="s">
        <v>594</v>
      </c>
      <c r="C299" s="14">
        <v>1997</v>
      </c>
      <c r="D299" s="18" t="str">
        <f>VLOOKUP(A299, '전체 목록(n=66)'!C:F, 4, FALSE)</f>
        <v>미국</v>
      </c>
      <c r="E299" s="6">
        <f t="shared" si="62"/>
        <v>177</v>
      </c>
      <c r="F299" s="6" t="s">
        <v>97</v>
      </c>
      <c r="G299" s="6">
        <v>27</v>
      </c>
      <c r="H299" s="6" t="s">
        <v>98</v>
      </c>
      <c r="I299" s="6">
        <v>150</v>
      </c>
      <c r="J299" s="6" t="s">
        <v>39</v>
      </c>
      <c r="K299" s="6" t="s">
        <v>91</v>
      </c>
      <c r="L299" s="19"/>
      <c r="M299" s="19"/>
      <c r="N299" s="19"/>
      <c r="O299" s="19"/>
      <c r="P299" s="19">
        <v>59.3</v>
      </c>
      <c r="Q299" s="19">
        <v>94.7</v>
      </c>
      <c r="R299" s="19">
        <v>66.7</v>
      </c>
      <c r="S299" s="19">
        <v>92.8</v>
      </c>
      <c r="T299" s="19"/>
      <c r="U299" s="19"/>
      <c r="V299" s="19"/>
      <c r="W299" s="19"/>
      <c r="X299" s="19"/>
      <c r="Y299" s="19"/>
      <c r="Z299" s="58">
        <f t="shared" si="57"/>
        <v>16.010999999999999</v>
      </c>
      <c r="AA299" s="58">
        <f t="shared" si="58"/>
        <v>7.9499999999999886</v>
      </c>
      <c r="AB299" s="58">
        <f t="shared" si="59"/>
        <v>10.989000000000001</v>
      </c>
      <c r="AC299" s="58">
        <f t="shared" si="60"/>
        <v>142.05000000000001</v>
      </c>
      <c r="AD299" s="59">
        <f t="shared" si="52"/>
        <v>0.59299999999999997</v>
      </c>
      <c r="AE299" s="59">
        <f t="shared" si="53"/>
        <v>0.94700000000000006</v>
      </c>
      <c r="AF299" s="59">
        <f t="shared" si="54"/>
        <v>0.66821084261925656</v>
      </c>
      <c r="AG299" s="59">
        <f t="shared" si="55"/>
        <v>0.92819477388116756</v>
      </c>
      <c r="AH299" s="59">
        <f t="shared" si="56"/>
        <v>0.89300000000000002</v>
      </c>
    </row>
    <row r="300" spans="1:34" ht="18" customHeight="1" x14ac:dyDescent="0.3">
      <c r="A300" s="56">
        <v>3580</v>
      </c>
      <c r="B300" s="23" t="s">
        <v>594</v>
      </c>
      <c r="C300" s="14">
        <v>1997</v>
      </c>
      <c r="D300" s="18" t="str">
        <f>VLOOKUP(A300, '전체 목록(n=66)'!C:F, 4, FALSE)</f>
        <v>미국</v>
      </c>
      <c r="E300" s="6">
        <f t="shared" si="62"/>
        <v>177</v>
      </c>
      <c r="F300" s="6" t="s">
        <v>97</v>
      </c>
      <c r="G300" s="6">
        <v>27</v>
      </c>
      <c r="H300" s="6" t="s">
        <v>98</v>
      </c>
      <c r="I300" s="6">
        <v>150</v>
      </c>
      <c r="J300" s="6" t="s">
        <v>298</v>
      </c>
      <c r="K300" s="6" t="s">
        <v>91</v>
      </c>
      <c r="L300" s="19"/>
      <c r="M300" s="19"/>
      <c r="N300" s="19"/>
      <c r="O300" s="19"/>
      <c r="P300" s="19">
        <v>88.9</v>
      </c>
      <c r="Q300" s="19">
        <v>98</v>
      </c>
      <c r="R300" s="19">
        <v>88.9</v>
      </c>
      <c r="S300" s="19">
        <v>98</v>
      </c>
      <c r="T300" s="19"/>
      <c r="U300" s="19"/>
      <c r="V300" s="19"/>
      <c r="W300" s="19"/>
      <c r="X300" s="19"/>
      <c r="Y300" s="19"/>
      <c r="Z300" s="58">
        <f t="shared" si="57"/>
        <v>24.003</v>
      </c>
      <c r="AA300" s="58">
        <f t="shared" si="58"/>
        <v>3</v>
      </c>
      <c r="AB300" s="58">
        <f t="shared" si="59"/>
        <v>2.9969999999999999</v>
      </c>
      <c r="AC300" s="58">
        <f t="shared" si="60"/>
        <v>147</v>
      </c>
      <c r="AD300" s="59">
        <f t="shared" si="52"/>
        <v>0.88900000000000001</v>
      </c>
      <c r="AE300" s="59">
        <f t="shared" si="53"/>
        <v>0.98</v>
      </c>
      <c r="AF300" s="59">
        <f t="shared" si="54"/>
        <v>0.88890123319631154</v>
      </c>
      <c r="AG300" s="59">
        <f t="shared" si="55"/>
        <v>0.98001960039200775</v>
      </c>
      <c r="AH300" s="59">
        <f t="shared" si="56"/>
        <v>0.96611864406779657</v>
      </c>
    </row>
    <row r="301" spans="1:34" ht="18" customHeight="1" x14ac:dyDescent="0.3">
      <c r="A301" s="56">
        <v>3580</v>
      </c>
      <c r="B301" s="23" t="s">
        <v>594</v>
      </c>
      <c r="C301" s="14">
        <v>1997</v>
      </c>
      <c r="D301" s="18" t="str">
        <f>VLOOKUP(A301, '전체 목록(n=66)'!C:F, 4, FALSE)</f>
        <v>미국</v>
      </c>
      <c r="E301" s="6">
        <f t="shared" si="62"/>
        <v>177</v>
      </c>
      <c r="F301" s="6" t="s">
        <v>97</v>
      </c>
      <c r="G301" s="6">
        <v>27</v>
      </c>
      <c r="H301" s="6" t="s">
        <v>98</v>
      </c>
      <c r="I301" s="6">
        <v>150</v>
      </c>
      <c r="J301" s="6" t="s">
        <v>299</v>
      </c>
      <c r="K301" s="6" t="s">
        <v>91</v>
      </c>
      <c r="L301" s="19"/>
      <c r="M301" s="19"/>
      <c r="N301" s="19"/>
      <c r="O301" s="19"/>
      <c r="P301" s="19">
        <v>96.3</v>
      </c>
      <c r="Q301" s="19">
        <v>86.7</v>
      </c>
      <c r="R301" s="19">
        <v>56.5</v>
      </c>
      <c r="S301" s="19">
        <v>99.2</v>
      </c>
      <c r="T301" s="19"/>
      <c r="U301" s="19"/>
      <c r="V301" s="19"/>
      <c r="W301" s="19"/>
      <c r="X301" s="19"/>
      <c r="Y301" s="19"/>
      <c r="Z301" s="58">
        <f t="shared" si="57"/>
        <v>26.000999999999998</v>
      </c>
      <c r="AA301" s="58">
        <f t="shared" si="58"/>
        <v>19.949999999999989</v>
      </c>
      <c r="AB301" s="58">
        <f t="shared" si="59"/>
        <v>0.99900000000000233</v>
      </c>
      <c r="AC301" s="58">
        <f t="shared" si="60"/>
        <v>130.05000000000001</v>
      </c>
      <c r="AD301" s="59">
        <f t="shared" si="52"/>
        <v>0.96299999999999997</v>
      </c>
      <c r="AE301" s="59">
        <f t="shared" si="53"/>
        <v>0.8670000000000001</v>
      </c>
      <c r="AF301" s="59">
        <f t="shared" si="54"/>
        <v>0.56584187504080441</v>
      </c>
      <c r="AG301" s="59">
        <f t="shared" si="55"/>
        <v>0.99237689719112698</v>
      </c>
      <c r="AH301" s="59">
        <f t="shared" si="56"/>
        <v>0.88164406779661031</v>
      </c>
    </row>
    <row r="302" spans="1:34" ht="18" customHeight="1" x14ac:dyDescent="0.3">
      <c r="A302" s="56">
        <v>3580</v>
      </c>
      <c r="B302" s="23" t="s">
        <v>594</v>
      </c>
      <c r="C302" s="14">
        <v>1997</v>
      </c>
      <c r="D302" s="18" t="str">
        <f>VLOOKUP(A302, '전체 목록(n=66)'!C:F, 4, FALSE)</f>
        <v>미국</v>
      </c>
      <c r="E302" s="6">
        <f t="shared" si="62"/>
        <v>177</v>
      </c>
      <c r="F302" s="6" t="s">
        <v>97</v>
      </c>
      <c r="G302" s="6">
        <v>27</v>
      </c>
      <c r="H302" s="6" t="s">
        <v>98</v>
      </c>
      <c r="I302" s="6">
        <v>150</v>
      </c>
      <c r="J302" s="6" t="s">
        <v>300</v>
      </c>
      <c r="K302" s="6" t="s">
        <v>91</v>
      </c>
      <c r="L302" s="19"/>
      <c r="M302" s="19"/>
      <c r="N302" s="19"/>
      <c r="O302" s="19"/>
      <c r="P302" s="19">
        <v>81.5</v>
      </c>
      <c r="Q302" s="19">
        <v>98.7</v>
      </c>
      <c r="R302" s="19">
        <v>91.7</v>
      </c>
      <c r="S302" s="19">
        <v>96.7</v>
      </c>
      <c r="T302" s="19"/>
      <c r="U302" s="19"/>
      <c r="V302" s="19"/>
      <c r="W302" s="19"/>
      <c r="X302" s="19"/>
      <c r="Y302" s="19"/>
      <c r="Z302" s="58">
        <f t="shared" si="57"/>
        <v>22.004999999999999</v>
      </c>
      <c r="AA302" s="58">
        <f t="shared" si="58"/>
        <v>1.9499999999999886</v>
      </c>
      <c r="AB302" s="58">
        <f t="shared" si="59"/>
        <v>4.995000000000001</v>
      </c>
      <c r="AC302" s="58">
        <f t="shared" si="60"/>
        <v>148.05000000000001</v>
      </c>
      <c r="AD302" s="59">
        <f t="shared" si="52"/>
        <v>0.81499999999999995</v>
      </c>
      <c r="AE302" s="59">
        <f t="shared" si="53"/>
        <v>0.9870000000000001</v>
      </c>
      <c r="AF302" s="59">
        <f t="shared" si="54"/>
        <v>0.91859737006887954</v>
      </c>
      <c r="AG302" s="59">
        <f t="shared" si="55"/>
        <v>0.96736254042928549</v>
      </c>
      <c r="AH302" s="59">
        <f t="shared" si="56"/>
        <v>0.96076271186440687</v>
      </c>
    </row>
    <row r="303" spans="1:34" s="19" customFormat="1" ht="18" customHeight="1" x14ac:dyDescent="0.3">
      <c r="A303" s="56">
        <v>3580</v>
      </c>
      <c r="B303" s="23" t="s">
        <v>594</v>
      </c>
      <c r="C303" s="14">
        <v>1997</v>
      </c>
      <c r="D303" s="18" t="str">
        <f>VLOOKUP(A303, '전체 목록(n=66)'!C:F, 4, FALSE)</f>
        <v>미국</v>
      </c>
      <c r="E303" s="6">
        <f t="shared" si="62"/>
        <v>177</v>
      </c>
      <c r="F303" s="6" t="s">
        <v>97</v>
      </c>
      <c r="G303" s="6">
        <v>27</v>
      </c>
      <c r="H303" s="6" t="s">
        <v>98</v>
      </c>
      <c r="I303" s="6">
        <v>150</v>
      </c>
      <c r="J303" s="6" t="s">
        <v>301</v>
      </c>
      <c r="K303" s="6" t="s">
        <v>91</v>
      </c>
      <c r="P303" s="19">
        <v>92.6</v>
      </c>
      <c r="Q303" s="19">
        <v>92.7</v>
      </c>
      <c r="R303" s="19">
        <v>69.400000000000006</v>
      </c>
      <c r="S303" s="19">
        <v>98.9</v>
      </c>
      <c r="Z303" s="58">
        <f t="shared" si="57"/>
        <v>25.001999999999999</v>
      </c>
      <c r="AA303" s="58">
        <f t="shared" si="58"/>
        <v>10.949999999999989</v>
      </c>
      <c r="AB303" s="58">
        <f t="shared" si="59"/>
        <v>1.9980000000000011</v>
      </c>
      <c r="AC303" s="58">
        <f t="shared" si="60"/>
        <v>139.05000000000001</v>
      </c>
      <c r="AD303" s="59">
        <f t="shared" si="52"/>
        <v>0.92599999999999993</v>
      </c>
      <c r="AE303" s="59">
        <f t="shared" si="53"/>
        <v>0.92700000000000005</v>
      </c>
      <c r="AF303" s="59">
        <f t="shared" si="54"/>
        <v>0.69542723631508707</v>
      </c>
      <c r="AG303" s="59">
        <f t="shared" si="55"/>
        <v>0.98583460949464019</v>
      </c>
      <c r="AH303" s="59">
        <f t="shared" si="56"/>
        <v>0.92684745762711873</v>
      </c>
    </row>
    <row r="304" spans="1:34" ht="18" customHeight="1" x14ac:dyDescent="0.3">
      <c r="A304" s="56">
        <v>3646</v>
      </c>
      <c r="B304" s="23" t="s">
        <v>595</v>
      </c>
      <c r="C304" s="14">
        <v>1996</v>
      </c>
      <c r="D304" s="18" t="str">
        <f>VLOOKUP(A304, '전체 목록(n=66)'!C:F, 4, FALSE)</f>
        <v>미국</v>
      </c>
      <c r="E304" s="6">
        <f t="shared" si="62"/>
        <v>433</v>
      </c>
      <c r="F304" s="6" t="s">
        <v>97</v>
      </c>
      <c r="G304" s="6">
        <v>38</v>
      </c>
      <c r="H304" s="6" t="s">
        <v>98</v>
      </c>
      <c r="I304" s="6">
        <f>140+255</f>
        <v>395</v>
      </c>
      <c r="J304" s="6" t="s">
        <v>39</v>
      </c>
      <c r="K304" s="6" t="s">
        <v>517</v>
      </c>
      <c r="L304" s="19">
        <v>38</v>
      </c>
      <c r="M304" s="19">
        <v>130</v>
      </c>
      <c r="N304" s="19">
        <v>10</v>
      </c>
      <c r="O304" s="19">
        <v>255</v>
      </c>
      <c r="P304" s="19">
        <v>79</v>
      </c>
      <c r="Q304" s="19">
        <v>66</v>
      </c>
      <c r="R304" s="19">
        <v>23</v>
      </c>
      <c r="S304" s="19">
        <v>96</v>
      </c>
      <c r="T304" s="19"/>
      <c r="U304" s="19"/>
      <c r="V304" s="19"/>
      <c r="W304" s="19"/>
      <c r="X304" s="19"/>
      <c r="Y304" s="19"/>
      <c r="Z304" s="19">
        <v>38</v>
      </c>
      <c r="AA304" s="19">
        <v>130</v>
      </c>
      <c r="AB304" s="19">
        <v>10</v>
      </c>
      <c r="AC304" s="19">
        <v>255</v>
      </c>
      <c r="AD304" s="59">
        <f t="shared" si="52"/>
        <v>0.79166666666666663</v>
      </c>
      <c r="AE304" s="59">
        <f t="shared" si="53"/>
        <v>0.66233766233766234</v>
      </c>
      <c r="AF304" s="59">
        <f t="shared" si="54"/>
        <v>0.22619047619047619</v>
      </c>
      <c r="AG304" s="59">
        <f t="shared" si="55"/>
        <v>0.96226415094339623</v>
      </c>
      <c r="AH304" s="59">
        <f t="shared" si="56"/>
        <v>0.67667436489607391</v>
      </c>
    </row>
    <row r="305" spans="1:34" ht="18" customHeight="1" x14ac:dyDescent="0.3">
      <c r="A305" s="56">
        <v>3646</v>
      </c>
      <c r="B305" s="23" t="s">
        <v>595</v>
      </c>
      <c r="C305" s="14">
        <v>1996</v>
      </c>
      <c r="D305" s="18" t="str">
        <f>VLOOKUP(A305, '전체 목록(n=66)'!C:F, 4, FALSE)</f>
        <v>미국</v>
      </c>
      <c r="E305" s="6">
        <f t="shared" si="62"/>
        <v>433</v>
      </c>
      <c r="F305" s="6" t="s">
        <v>97</v>
      </c>
      <c r="G305" s="6">
        <v>47</v>
      </c>
      <c r="H305" s="6" t="s">
        <v>98</v>
      </c>
      <c r="I305" s="6">
        <f>104+282</f>
        <v>386</v>
      </c>
      <c r="J305" s="6" t="s">
        <v>95</v>
      </c>
      <c r="K305" s="6" t="s">
        <v>517</v>
      </c>
      <c r="L305" s="19">
        <v>47</v>
      </c>
      <c r="M305" s="19">
        <v>103</v>
      </c>
      <c r="N305" s="19">
        <v>1</v>
      </c>
      <c r="O305" s="19">
        <v>282</v>
      </c>
      <c r="P305" s="19">
        <v>98</v>
      </c>
      <c r="Q305" s="19">
        <v>73</v>
      </c>
      <c r="R305" s="19">
        <v>31</v>
      </c>
      <c r="S305" s="19">
        <v>100</v>
      </c>
      <c r="T305" s="19"/>
      <c r="U305" s="19"/>
      <c r="V305" s="19"/>
      <c r="W305" s="19"/>
      <c r="X305" s="19"/>
      <c r="Y305" s="19"/>
      <c r="Z305" s="19">
        <v>47</v>
      </c>
      <c r="AA305" s="19">
        <v>103</v>
      </c>
      <c r="AB305" s="19">
        <v>1</v>
      </c>
      <c r="AC305" s="19">
        <v>282</v>
      </c>
      <c r="AD305" s="59">
        <f t="shared" si="52"/>
        <v>0.97916666666666663</v>
      </c>
      <c r="AE305" s="59">
        <f t="shared" si="53"/>
        <v>0.73246753246753249</v>
      </c>
      <c r="AF305" s="59">
        <f t="shared" si="54"/>
        <v>0.31333333333333335</v>
      </c>
      <c r="AG305" s="59">
        <f t="shared" si="55"/>
        <v>0.99646643109540634</v>
      </c>
      <c r="AH305" s="59">
        <f t="shared" si="56"/>
        <v>0.75981524249422627</v>
      </c>
    </row>
    <row r="306" spans="1:34" ht="18" customHeight="1" x14ac:dyDescent="0.3">
      <c r="A306" s="56">
        <v>3651</v>
      </c>
      <c r="B306" s="23" t="s">
        <v>606</v>
      </c>
      <c r="C306" s="14">
        <v>1996</v>
      </c>
      <c r="D306" s="18" t="str">
        <f>VLOOKUP(A306, '전체 목록(n=66)'!C:F, 4, FALSE)</f>
        <v>미국</v>
      </c>
      <c r="E306" s="6">
        <f t="shared" si="62"/>
        <v>101</v>
      </c>
      <c r="F306" s="6" t="s">
        <v>97</v>
      </c>
      <c r="G306" s="6">
        <v>25</v>
      </c>
      <c r="H306" s="6" t="s">
        <v>98</v>
      </c>
      <c r="I306" s="6">
        <v>76</v>
      </c>
      <c r="J306" s="6" t="s">
        <v>39</v>
      </c>
      <c r="K306" s="6" t="s">
        <v>167</v>
      </c>
      <c r="L306" s="19"/>
      <c r="M306" s="19"/>
      <c r="N306" s="19"/>
      <c r="O306" s="19"/>
      <c r="P306" s="19">
        <v>50</v>
      </c>
      <c r="Q306" s="19">
        <v>82</v>
      </c>
      <c r="R306" s="19">
        <v>62</v>
      </c>
      <c r="S306" s="19">
        <v>68</v>
      </c>
      <c r="T306" s="19"/>
      <c r="U306" s="19"/>
      <c r="V306" s="19"/>
      <c r="W306" s="19"/>
      <c r="X306" s="19"/>
      <c r="Y306" s="19"/>
      <c r="Z306" s="58">
        <f t="shared" ref="Z306:Z331" si="63">G306*P306/100</f>
        <v>12.5</v>
      </c>
      <c r="AA306" s="58">
        <f t="shared" ref="AA306:AA331" si="64">I306-AC306</f>
        <v>13.68</v>
      </c>
      <c r="AB306" s="58">
        <f t="shared" ref="AB306:AB331" si="65">G306-Z306</f>
        <v>12.5</v>
      </c>
      <c r="AC306" s="58">
        <f t="shared" ref="AC306:AC331" si="66">I306*Q306/100</f>
        <v>62.32</v>
      </c>
      <c r="AD306" s="59">
        <f t="shared" si="52"/>
        <v>0.5</v>
      </c>
      <c r="AE306" s="59">
        <f t="shared" si="53"/>
        <v>0.82</v>
      </c>
      <c r="AF306" s="59">
        <f t="shared" si="54"/>
        <v>0.47746371275783039</v>
      </c>
      <c r="AG306" s="59">
        <f t="shared" si="55"/>
        <v>0.83293237102379047</v>
      </c>
      <c r="AH306" s="59">
        <f t="shared" si="56"/>
        <v>0.74079207920792067</v>
      </c>
    </row>
    <row r="307" spans="1:34" ht="18" customHeight="1" x14ac:dyDescent="0.3">
      <c r="A307" s="56">
        <v>3651</v>
      </c>
      <c r="B307" s="23" t="s">
        <v>606</v>
      </c>
      <c r="C307" s="14">
        <v>1996</v>
      </c>
      <c r="D307" s="18" t="str">
        <f>VLOOKUP(A307, '전체 목록(n=66)'!C:F, 4, FALSE)</f>
        <v>미국</v>
      </c>
      <c r="E307" s="6">
        <f t="shared" si="62"/>
        <v>101</v>
      </c>
      <c r="F307" s="6" t="s">
        <v>97</v>
      </c>
      <c r="G307" s="6">
        <v>25</v>
      </c>
      <c r="H307" s="6" t="s">
        <v>98</v>
      </c>
      <c r="I307" s="6">
        <v>76</v>
      </c>
      <c r="J307" s="6" t="s">
        <v>51</v>
      </c>
      <c r="K307" s="6" t="s">
        <v>167</v>
      </c>
      <c r="L307" s="19"/>
      <c r="M307" s="19"/>
      <c r="N307" s="19"/>
      <c r="O307" s="19"/>
      <c r="P307" s="19">
        <v>25</v>
      </c>
      <c r="Q307" s="19">
        <v>96</v>
      </c>
      <c r="R307" s="19">
        <v>90</v>
      </c>
      <c r="S307" s="19">
        <v>90</v>
      </c>
      <c r="T307" s="19"/>
      <c r="U307" s="19"/>
      <c r="V307" s="19"/>
      <c r="W307" s="19"/>
      <c r="X307" s="19"/>
      <c r="Y307" s="19"/>
      <c r="Z307" s="58">
        <f t="shared" si="63"/>
        <v>6.25</v>
      </c>
      <c r="AA307" s="58">
        <f t="shared" si="64"/>
        <v>3.0400000000000063</v>
      </c>
      <c r="AB307" s="58">
        <f t="shared" si="65"/>
        <v>18.75</v>
      </c>
      <c r="AC307" s="58">
        <f t="shared" si="66"/>
        <v>72.959999999999994</v>
      </c>
      <c r="AD307" s="59">
        <f t="shared" si="52"/>
        <v>0.25</v>
      </c>
      <c r="AE307" s="59">
        <f t="shared" si="53"/>
        <v>0.96</v>
      </c>
      <c r="AF307" s="59">
        <f t="shared" si="54"/>
        <v>0.67276641550053773</v>
      </c>
      <c r="AG307" s="59">
        <f t="shared" si="55"/>
        <v>0.79555119398102714</v>
      </c>
      <c r="AH307" s="59">
        <f t="shared" si="56"/>
        <v>0.78425742574257418</v>
      </c>
    </row>
    <row r="308" spans="1:34" ht="18" customHeight="1" x14ac:dyDescent="0.3">
      <c r="A308" s="56">
        <v>3656</v>
      </c>
      <c r="B308" s="23" t="s">
        <v>590</v>
      </c>
      <c r="C308" s="14">
        <v>1996</v>
      </c>
      <c r="D308" s="18" t="str">
        <f>VLOOKUP(A308, '전체 목록(n=66)'!C:F, 4, FALSE)</f>
        <v>이탈리아</v>
      </c>
      <c r="E308" s="6">
        <v>165</v>
      </c>
      <c r="F308" s="6" t="s">
        <v>97</v>
      </c>
      <c r="G308" s="6">
        <v>21</v>
      </c>
      <c r="H308" s="6" t="s">
        <v>98</v>
      </c>
      <c r="I308" s="6">
        <v>144</v>
      </c>
      <c r="J308" s="6" t="s">
        <v>39</v>
      </c>
      <c r="K308" s="6" t="s">
        <v>519</v>
      </c>
      <c r="L308" s="19"/>
      <c r="M308" s="19"/>
      <c r="N308" s="19"/>
      <c r="O308" s="19"/>
      <c r="P308" s="19">
        <v>100</v>
      </c>
      <c r="Q308" s="19">
        <v>92.3</v>
      </c>
      <c r="R308" s="19"/>
      <c r="S308" s="19"/>
      <c r="T308" s="19"/>
      <c r="U308" s="19"/>
      <c r="V308" s="19"/>
      <c r="W308" s="19"/>
      <c r="X308" s="19"/>
      <c r="Y308" s="19"/>
      <c r="Z308" s="58">
        <f t="shared" si="63"/>
        <v>21</v>
      </c>
      <c r="AA308" s="58">
        <f t="shared" si="64"/>
        <v>11.088000000000022</v>
      </c>
      <c r="AB308" s="58">
        <f t="shared" si="65"/>
        <v>0</v>
      </c>
      <c r="AC308" s="58">
        <f t="shared" si="66"/>
        <v>132.91199999999998</v>
      </c>
      <c r="AD308" s="59">
        <f t="shared" si="52"/>
        <v>1</v>
      </c>
      <c r="AE308" s="59">
        <f t="shared" si="53"/>
        <v>0.92299999999999982</v>
      </c>
      <c r="AF308" s="59">
        <f t="shared" si="54"/>
        <v>0.65445026178010424</v>
      </c>
      <c r="AG308" s="59">
        <f t="shared" si="55"/>
        <v>1</v>
      </c>
      <c r="AH308" s="59">
        <f t="shared" si="56"/>
        <v>0.93279999999999985</v>
      </c>
    </row>
    <row r="309" spans="1:34" ht="18" customHeight="1" x14ac:dyDescent="0.3">
      <c r="A309" s="56">
        <v>3656</v>
      </c>
      <c r="B309" s="23" t="s">
        <v>590</v>
      </c>
      <c r="C309" s="14">
        <v>1996</v>
      </c>
      <c r="D309" s="18" t="str">
        <f>VLOOKUP(A309, '전체 목록(n=66)'!C:F, 4, FALSE)</f>
        <v>이탈리아</v>
      </c>
      <c r="E309" s="6">
        <v>165</v>
      </c>
      <c r="F309" s="6" t="s">
        <v>97</v>
      </c>
      <c r="G309" s="6">
        <v>21</v>
      </c>
      <c r="H309" s="6" t="s">
        <v>98</v>
      </c>
      <c r="I309" s="6">
        <v>144</v>
      </c>
      <c r="J309" s="6" t="s">
        <v>121</v>
      </c>
      <c r="K309" s="6" t="s">
        <v>519</v>
      </c>
      <c r="L309" s="19"/>
      <c r="M309" s="19"/>
      <c r="N309" s="19"/>
      <c r="O309" s="19"/>
      <c r="P309" s="19">
        <v>76.900000000000006</v>
      </c>
      <c r="Q309" s="19">
        <v>100</v>
      </c>
      <c r="R309" s="19"/>
      <c r="S309" s="19"/>
      <c r="T309" s="19"/>
      <c r="U309" s="19"/>
      <c r="V309" s="19"/>
      <c r="W309" s="19"/>
      <c r="X309" s="19"/>
      <c r="Y309" s="19"/>
      <c r="Z309" s="58">
        <f t="shared" si="63"/>
        <v>16.149000000000001</v>
      </c>
      <c r="AA309" s="58">
        <f t="shared" si="64"/>
        <v>0</v>
      </c>
      <c r="AB309" s="58">
        <f t="shared" si="65"/>
        <v>4.8509999999999991</v>
      </c>
      <c r="AC309" s="58">
        <f t="shared" si="66"/>
        <v>144</v>
      </c>
      <c r="AD309" s="59">
        <f t="shared" si="52"/>
        <v>0.76900000000000002</v>
      </c>
      <c r="AE309" s="59">
        <f t="shared" si="53"/>
        <v>1</v>
      </c>
      <c r="AF309" s="59">
        <f t="shared" si="54"/>
        <v>1</v>
      </c>
      <c r="AG309" s="59">
        <f t="shared" si="55"/>
        <v>0.96741036338351771</v>
      </c>
      <c r="AH309" s="59">
        <f t="shared" si="56"/>
        <v>0.97060000000000002</v>
      </c>
    </row>
    <row r="310" spans="1:34" ht="18" customHeight="1" x14ac:dyDescent="0.3">
      <c r="A310" s="56">
        <v>3759</v>
      </c>
      <c r="B310" s="23" t="s">
        <v>591</v>
      </c>
      <c r="C310" s="14">
        <v>1995</v>
      </c>
      <c r="D310" s="18" t="str">
        <f>VLOOKUP(A310, '전체 목록(n=66)'!C:F, 4, FALSE)</f>
        <v>미국</v>
      </c>
      <c r="E310" s="6">
        <v>98</v>
      </c>
      <c r="F310" s="6" t="s">
        <v>97</v>
      </c>
      <c r="G310" s="6">
        <v>9</v>
      </c>
      <c r="H310" s="6" t="s">
        <v>98</v>
      </c>
      <c r="I310" s="6">
        <v>89</v>
      </c>
      <c r="J310" s="6" t="s">
        <v>39</v>
      </c>
      <c r="K310" s="6" t="s">
        <v>520</v>
      </c>
      <c r="L310" s="19"/>
      <c r="M310" s="19"/>
      <c r="N310" s="19"/>
      <c r="O310" s="19"/>
      <c r="P310" s="19">
        <v>100</v>
      </c>
      <c r="Q310" s="19">
        <v>61.4</v>
      </c>
      <c r="R310" s="19"/>
      <c r="S310" s="19"/>
      <c r="T310" s="19"/>
      <c r="U310" s="19"/>
      <c r="V310" s="19"/>
      <c r="W310" s="19"/>
      <c r="X310" s="19"/>
      <c r="Y310" s="19"/>
      <c r="Z310" s="58">
        <f t="shared" si="63"/>
        <v>9</v>
      </c>
      <c r="AA310" s="58">
        <f t="shared" si="64"/>
        <v>34.354000000000006</v>
      </c>
      <c r="AB310" s="58">
        <f t="shared" si="65"/>
        <v>0</v>
      </c>
      <c r="AC310" s="58">
        <f t="shared" si="66"/>
        <v>54.645999999999994</v>
      </c>
      <c r="AD310" s="59">
        <f t="shared" si="52"/>
        <v>1</v>
      </c>
      <c r="AE310" s="59">
        <f t="shared" si="53"/>
        <v>0.61399999999999988</v>
      </c>
      <c r="AF310" s="59">
        <f t="shared" si="54"/>
        <v>0.20759330165613321</v>
      </c>
      <c r="AG310" s="59">
        <f t="shared" si="55"/>
        <v>1</v>
      </c>
      <c r="AH310" s="59">
        <f t="shared" si="56"/>
        <v>0.64944897959183667</v>
      </c>
    </row>
    <row r="311" spans="1:34" ht="18" customHeight="1" x14ac:dyDescent="0.3">
      <c r="A311" s="56">
        <v>3759</v>
      </c>
      <c r="B311" s="23" t="s">
        <v>591</v>
      </c>
      <c r="C311" s="14">
        <v>1995</v>
      </c>
      <c r="D311" s="18" t="str">
        <f>VLOOKUP(A311, '전체 목록(n=66)'!C:F, 4, FALSE)</f>
        <v>미국</v>
      </c>
      <c r="E311" s="6">
        <v>98</v>
      </c>
      <c r="F311" s="6" t="s">
        <v>97</v>
      </c>
      <c r="G311" s="6">
        <v>9</v>
      </c>
      <c r="H311" s="6" t="s">
        <v>98</v>
      </c>
      <c r="I311" s="6">
        <v>89</v>
      </c>
      <c r="J311" s="6" t="s">
        <v>51</v>
      </c>
      <c r="K311" s="6" t="s">
        <v>520</v>
      </c>
      <c r="L311" s="19"/>
      <c r="M311" s="19"/>
      <c r="N311" s="19"/>
      <c r="O311" s="19"/>
      <c r="P311" s="19">
        <v>100</v>
      </c>
      <c r="Q311" s="19">
        <v>91.9</v>
      </c>
      <c r="R311" s="19"/>
      <c r="S311" s="19"/>
      <c r="T311" s="19"/>
      <c r="U311" s="19"/>
      <c r="V311" s="19"/>
      <c r="W311" s="19"/>
      <c r="X311" s="19"/>
      <c r="Y311" s="19"/>
      <c r="Z311" s="58">
        <f t="shared" si="63"/>
        <v>9</v>
      </c>
      <c r="AA311" s="58">
        <f t="shared" si="64"/>
        <v>7.2090000000000032</v>
      </c>
      <c r="AB311" s="58">
        <f t="shared" si="65"/>
        <v>0</v>
      </c>
      <c r="AC311" s="58">
        <f t="shared" si="66"/>
        <v>81.790999999999997</v>
      </c>
      <c r="AD311" s="59">
        <f t="shared" si="52"/>
        <v>1</v>
      </c>
      <c r="AE311" s="59">
        <f t="shared" si="53"/>
        <v>0.91899999999999993</v>
      </c>
      <c r="AF311" s="59">
        <f t="shared" si="54"/>
        <v>0.55524708495280384</v>
      </c>
      <c r="AG311" s="59">
        <f t="shared" si="55"/>
        <v>1</v>
      </c>
      <c r="AH311" s="59">
        <f t="shared" si="56"/>
        <v>0.92643877551020404</v>
      </c>
    </row>
    <row r="312" spans="1:34" ht="18" customHeight="1" x14ac:dyDescent="0.3">
      <c r="A312" s="56">
        <v>3762</v>
      </c>
      <c r="B312" s="23" t="s">
        <v>596</v>
      </c>
      <c r="C312" s="14">
        <v>1995</v>
      </c>
      <c r="D312" s="18" t="str">
        <f>VLOOKUP(A312, '전체 목록(n=66)'!C:F, 4, FALSE)</f>
        <v>스웨덴</v>
      </c>
      <c r="E312" s="6">
        <f t="shared" ref="E312:E319" si="67">G312+I312</f>
        <v>142</v>
      </c>
      <c r="F312" s="6" t="s">
        <v>97</v>
      </c>
      <c r="G312" s="6">
        <v>59</v>
      </c>
      <c r="H312" s="6" t="s">
        <v>98</v>
      </c>
      <c r="I312" s="6">
        <v>83</v>
      </c>
      <c r="J312" s="6" t="s">
        <v>39</v>
      </c>
      <c r="K312" s="6" t="s">
        <v>167</v>
      </c>
      <c r="L312" s="19"/>
      <c r="M312" s="19"/>
      <c r="N312" s="19"/>
      <c r="O312" s="19"/>
      <c r="P312" s="19">
        <v>83</v>
      </c>
      <c r="Q312" s="19">
        <v>81</v>
      </c>
      <c r="R312" s="19"/>
      <c r="S312" s="19"/>
      <c r="T312" s="19"/>
      <c r="U312" s="19"/>
      <c r="V312" s="19"/>
      <c r="W312" s="19"/>
      <c r="X312" s="19"/>
      <c r="Y312" s="19"/>
      <c r="Z312" s="58">
        <f t="shared" si="63"/>
        <v>48.97</v>
      </c>
      <c r="AA312" s="58">
        <f t="shared" si="64"/>
        <v>15.769999999999996</v>
      </c>
      <c r="AB312" s="58">
        <f t="shared" si="65"/>
        <v>10.030000000000001</v>
      </c>
      <c r="AC312" s="58">
        <f t="shared" si="66"/>
        <v>67.23</v>
      </c>
      <c r="AD312" s="59">
        <f t="shared" si="52"/>
        <v>0.83</v>
      </c>
      <c r="AE312" s="59">
        <f t="shared" si="53"/>
        <v>0.81</v>
      </c>
      <c r="AF312" s="59">
        <f t="shared" si="54"/>
        <v>0.7564102564102565</v>
      </c>
      <c r="AG312" s="59">
        <f t="shared" si="55"/>
        <v>0.87017861765467253</v>
      </c>
      <c r="AH312" s="59">
        <f t="shared" si="56"/>
        <v>0.8183098591549296</v>
      </c>
    </row>
    <row r="313" spans="1:34" ht="18" customHeight="1" x14ac:dyDescent="0.3">
      <c r="A313" s="56">
        <v>3762</v>
      </c>
      <c r="B313" s="23" t="s">
        <v>596</v>
      </c>
      <c r="C313" s="14">
        <v>1995</v>
      </c>
      <c r="D313" s="18" t="str">
        <f>VLOOKUP(A313, '전체 목록(n=66)'!C:F, 4, FALSE)</f>
        <v>스웨덴</v>
      </c>
      <c r="E313" s="6">
        <f t="shared" si="67"/>
        <v>142</v>
      </c>
      <c r="F313" s="6" t="s">
        <v>97</v>
      </c>
      <c r="G313" s="6">
        <v>59</v>
      </c>
      <c r="H313" s="6" t="s">
        <v>98</v>
      </c>
      <c r="I313" s="6">
        <v>83</v>
      </c>
      <c r="J313" s="6" t="s">
        <v>121</v>
      </c>
      <c r="K313" s="6" t="s">
        <v>167</v>
      </c>
      <c r="L313" s="19"/>
      <c r="M313" s="19"/>
      <c r="N313" s="19"/>
      <c r="O313" s="19"/>
      <c r="P313" s="19">
        <v>24</v>
      </c>
      <c r="Q313" s="19">
        <v>98</v>
      </c>
      <c r="R313" s="19"/>
      <c r="S313" s="19"/>
      <c r="T313" s="19"/>
      <c r="U313" s="19"/>
      <c r="V313" s="19"/>
      <c r="W313" s="19"/>
      <c r="X313" s="19"/>
      <c r="Y313" s="19"/>
      <c r="Z313" s="58">
        <f t="shared" si="63"/>
        <v>14.16</v>
      </c>
      <c r="AA313" s="58">
        <f t="shared" si="64"/>
        <v>1.6599999999999966</v>
      </c>
      <c r="AB313" s="58">
        <f t="shared" si="65"/>
        <v>44.84</v>
      </c>
      <c r="AC313" s="58">
        <f t="shared" si="66"/>
        <v>81.34</v>
      </c>
      <c r="AD313" s="59">
        <f t="shared" si="52"/>
        <v>0.24</v>
      </c>
      <c r="AE313" s="59">
        <f t="shared" si="53"/>
        <v>0.98000000000000009</v>
      </c>
      <c r="AF313" s="59">
        <f t="shared" si="54"/>
        <v>0.89506953223767405</v>
      </c>
      <c r="AG313" s="59">
        <f t="shared" si="55"/>
        <v>0.64463464891424949</v>
      </c>
      <c r="AH313" s="59">
        <f t="shared" si="56"/>
        <v>0.67253521126760563</v>
      </c>
    </row>
    <row r="314" spans="1:34" ht="18" customHeight="1" x14ac:dyDescent="0.3">
      <c r="A314" s="56">
        <v>3762</v>
      </c>
      <c r="B314" s="23" t="s">
        <v>596</v>
      </c>
      <c r="C314" s="14">
        <v>1995</v>
      </c>
      <c r="D314" s="18" t="str">
        <f>VLOOKUP(A314, '전체 목록(n=66)'!C:F, 4, FALSE)</f>
        <v>스웨덴</v>
      </c>
      <c r="E314" s="6">
        <f t="shared" si="67"/>
        <v>142</v>
      </c>
      <c r="F314" s="6" t="s">
        <v>97</v>
      </c>
      <c r="G314" s="6">
        <v>59</v>
      </c>
      <c r="H314" s="6" t="s">
        <v>98</v>
      </c>
      <c r="I314" s="6">
        <v>83</v>
      </c>
      <c r="J314" s="6" t="s">
        <v>39</v>
      </c>
      <c r="K314" s="6" t="s">
        <v>277</v>
      </c>
      <c r="L314" s="19"/>
      <c r="M314" s="19"/>
      <c r="N314" s="19"/>
      <c r="O314" s="19"/>
      <c r="P314" s="19">
        <v>92</v>
      </c>
      <c r="Q314" s="19"/>
      <c r="R314" s="19"/>
      <c r="S314" s="19"/>
      <c r="T314" s="19"/>
      <c r="U314" s="19"/>
      <c r="V314" s="19"/>
      <c r="W314" s="19"/>
      <c r="X314" s="19"/>
      <c r="Y314" s="19"/>
      <c r="Z314" s="58">
        <f t="shared" si="63"/>
        <v>54.28</v>
      </c>
      <c r="AA314" s="58">
        <f t="shared" si="64"/>
        <v>83</v>
      </c>
      <c r="AB314" s="58">
        <f t="shared" si="65"/>
        <v>4.7199999999999989</v>
      </c>
      <c r="AC314" s="58">
        <f t="shared" si="66"/>
        <v>0</v>
      </c>
      <c r="AD314" s="59">
        <f t="shared" si="52"/>
        <v>0.92</v>
      </c>
      <c r="AE314" s="59">
        <f t="shared" si="53"/>
        <v>0</v>
      </c>
      <c r="AF314" s="59">
        <f t="shared" si="54"/>
        <v>0.3953962703962704</v>
      </c>
      <c r="AG314" s="59">
        <f t="shared" si="55"/>
        <v>0</v>
      </c>
      <c r="AH314" s="59">
        <f t="shared" si="56"/>
        <v>0.38225352112676059</v>
      </c>
    </row>
    <row r="315" spans="1:34" ht="18" customHeight="1" x14ac:dyDescent="0.3">
      <c r="A315" s="56">
        <v>3762</v>
      </c>
      <c r="B315" s="23" t="s">
        <v>596</v>
      </c>
      <c r="C315" s="14">
        <v>1995</v>
      </c>
      <c r="D315" s="18" t="str">
        <f>VLOOKUP(A315, '전체 목록(n=66)'!C:F, 4, FALSE)</f>
        <v>스웨덴</v>
      </c>
      <c r="E315" s="6">
        <f t="shared" si="67"/>
        <v>142</v>
      </c>
      <c r="F315" s="6" t="s">
        <v>97</v>
      </c>
      <c r="G315" s="6">
        <v>59</v>
      </c>
      <c r="H315" s="6" t="s">
        <v>98</v>
      </c>
      <c r="I315" s="6">
        <v>83</v>
      </c>
      <c r="J315" s="6" t="s">
        <v>121</v>
      </c>
      <c r="K315" s="6" t="s">
        <v>165</v>
      </c>
      <c r="L315" s="19"/>
      <c r="M315" s="19"/>
      <c r="N315" s="19"/>
      <c r="O315" s="19"/>
      <c r="P315" s="19">
        <v>80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58">
        <f t="shared" si="63"/>
        <v>47.2</v>
      </c>
      <c r="AA315" s="58">
        <f t="shared" si="64"/>
        <v>83</v>
      </c>
      <c r="AB315" s="58">
        <f t="shared" si="65"/>
        <v>11.799999999999997</v>
      </c>
      <c r="AC315" s="58">
        <f t="shared" si="66"/>
        <v>0</v>
      </c>
      <c r="AD315" s="59">
        <f t="shared" si="52"/>
        <v>0.8</v>
      </c>
      <c r="AE315" s="59">
        <f t="shared" si="53"/>
        <v>0</v>
      </c>
      <c r="AF315" s="59">
        <f t="shared" si="54"/>
        <v>0.36251920122887871</v>
      </c>
      <c r="AG315" s="59">
        <f t="shared" si="55"/>
        <v>0</v>
      </c>
      <c r="AH315" s="59">
        <f t="shared" si="56"/>
        <v>0.3323943661971831</v>
      </c>
    </row>
    <row r="316" spans="1:34" s="19" customFormat="1" ht="18" customHeight="1" x14ac:dyDescent="0.3">
      <c r="A316" s="56">
        <v>3762</v>
      </c>
      <c r="B316" s="23" t="s">
        <v>596</v>
      </c>
      <c r="C316" s="14">
        <v>1995</v>
      </c>
      <c r="D316" s="18" t="str">
        <f>VLOOKUP(A316, '전체 목록(n=66)'!C:F, 4, FALSE)</f>
        <v>스웨덴</v>
      </c>
      <c r="E316" s="6">
        <f t="shared" si="67"/>
        <v>142</v>
      </c>
      <c r="F316" s="6" t="s">
        <v>97</v>
      </c>
      <c r="G316" s="6">
        <v>59</v>
      </c>
      <c r="H316" s="6" t="s">
        <v>98</v>
      </c>
      <c r="I316" s="6">
        <v>83</v>
      </c>
      <c r="J316" s="6" t="s">
        <v>39</v>
      </c>
      <c r="K316" s="6" t="s">
        <v>166</v>
      </c>
      <c r="P316" s="19">
        <v>95</v>
      </c>
      <c r="Q316" s="19">
        <v>71</v>
      </c>
      <c r="Z316" s="58">
        <f t="shared" si="63"/>
        <v>56.05</v>
      </c>
      <c r="AA316" s="58">
        <f t="shared" si="64"/>
        <v>24.07</v>
      </c>
      <c r="AB316" s="58">
        <f t="shared" si="65"/>
        <v>2.9500000000000028</v>
      </c>
      <c r="AC316" s="58">
        <f t="shared" si="66"/>
        <v>58.93</v>
      </c>
      <c r="AD316" s="59">
        <f t="shared" si="52"/>
        <v>0.95</v>
      </c>
      <c r="AE316" s="59">
        <f t="shared" si="53"/>
        <v>0.71</v>
      </c>
      <c r="AF316" s="59">
        <f t="shared" si="54"/>
        <v>0.69957563654518218</v>
      </c>
      <c r="AG316" s="59">
        <f t="shared" si="55"/>
        <v>0.9523270846800258</v>
      </c>
      <c r="AH316" s="59">
        <f t="shared" si="56"/>
        <v>0.80971830985915483</v>
      </c>
    </row>
    <row r="317" spans="1:34" s="19" customFormat="1" ht="18" customHeight="1" x14ac:dyDescent="0.3">
      <c r="A317" s="56">
        <v>3762</v>
      </c>
      <c r="B317" s="23" t="s">
        <v>596</v>
      </c>
      <c r="C317" s="14">
        <v>1995</v>
      </c>
      <c r="D317" s="18" t="str">
        <f>VLOOKUP(A317, '전체 목록(n=66)'!C:F, 4, FALSE)</f>
        <v>스웨덴</v>
      </c>
      <c r="E317" s="6">
        <f t="shared" si="67"/>
        <v>142</v>
      </c>
      <c r="F317" s="6" t="s">
        <v>97</v>
      </c>
      <c r="G317" s="6">
        <v>59</v>
      </c>
      <c r="H317" s="6" t="s">
        <v>98</v>
      </c>
      <c r="I317" s="6">
        <v>83</v>
      </c>
      <c r="J317" s="6" t="s">
        <v>121</v>
      </c>
      <c r="K317" s="6" t="s">
        <v>166</v>
      </c>
      <c r="P317" s="19">
        <v>92</v>
      </c>
      <c r="Q317" s="19">
        <v>88</v>
      </c>
      <c r="Z317" s="58">
        <f t="shared" si="63"/>
        <v>54.28</v>
      </c>
      <c r="AA317" s="58">
        <f t="shared" si="64"/>
        <v>9.9599999999999937</v>
      </c>
      <c r="AB317" s="58">
        <f t="shared" si="65"/>
        <v>4.7199999999999989</v>
      </c>
      <c r="AC317" s="58">
        <f t="shared" si="66"/>
        <v>73.040000000000006</v>
      </c>
      <c r="AD317" s="59">
        <f t="shared" si="52"/>
        <v>0.92</v>
      </c>
      <c r="AE317" s="59">
        <f t="shared" si="53"/>
        <v>0.88000000000000012</v>
      </c>
      <c r="AF317" s="59">
        <f t="shared" si="54"/>
        <v>0.84495641344956418</v>
      </c>
      <c r="AG317" s="59">
        <f t="shared" si="55"/>
        <v>0.93930041152263377</v>
      </c>
      <c r="AH317" s="59">
        <f t="shared" si="56"/>
        <v>0.8966197183098592</v>
      </c>
    </row>
    <row r="318" spans="1:34" ht="18" customHeight="1" x14ac:dyDescent="0.3">
      <c r="A318" s="56">
        <v>3802</v>
      </c>
      <c r="B318" s="23" t="s">
        <v>597</v>
      </c>
      <c r="C318" s="14">
        <v>1995</v>
      </c>
      <c r="D318" s="18" t="str">
        <f>VLOOKUP(A318, '전체 목록(n=66)'!C:F, 4, FALSE)</f>
        <v>오스트리아</v>
      </c>
      <c r="E318" s="6">
        <f t="shared" si="67"/>
        <v>114</v>
      </c>
      <c r="F318" s="6" t="s">
        <v>97</v>
      </c>
      <c r="G318" s="6">
        <v>45</v>
      </c>
      <c r="H318" s="6" t="s">
        <v>98</v>
      </c>
      <c r="I318" s="6">
        <f>114-45</f>
        <v>69</v>
      </c>
      <c r="J318" s="6" t="s">
        <v>39</v>
      </c>
      <c r="K318" s="6" t="s">
        <v>130</v>
      </c>
      <c r="L318" s="19"/>
      <c r="M318" s="19"/>
      <c r="N318" s="19"/>
      <c r="O318" s="19"/>
      <c r="P318" s="19">
        <v>50</v>
      </c>
      <c r="Q318" s="19">
        <v>94</v>
      </c>
      <c r="R318" s="19">
        <v>86</v>
      </c>
      <c r="S318" s="19">
        <v>83</v>
      </c>
      <c r="T318" s="19"/>
      <c r="U318" s="19"/>
      <c r="V318" s="19"/>
      <c r="W318" s="19"/>
      <c r="X318" s="19"/>
      <c r="Y318" s="19">
        <v>0.8</v>
      </c>
      <c r="Z318" s="58">
        <f t="shared" si="63"/>
        <v>22.5</v>
      </c>
      <c r="AA318" s="58">
        <f t="shared" si="64"/>
        <v>4.1400000000000006</v>
      </c>
      <c r="AB318" s="58">
        <f t="shared" si="65"/>
        <v>22.5</v>
      </c>
      <c r="AC318" s="58">
        <f t="shared" si="66"/>
        <v>64.86</v>
      </c>
      <c r="AD318" s="59">
        <f t="shared" si="52"/>
        <v>0.5</v>
      </c>
      <c r="AE318" s="59">
        <f t="shared" si="53"/>
        <v>0.94</v>
      </c>
      <c r="AF318" s="59">
        <f t="shared" si="54"/>
        <v>0.84459459459459463</v>
      </c>
      <c r="AG318" s="59">
        <f t="shared" si="55"/>
        <v>0.74244505494505497</v>
      </c>
      <c r="AH318" s="59">
        <f t="shared" si="56"/>
        <v>0.76631578947368417</v>
      </c>
    </row>
    <row r="319" spans="1:34" ht="18" customHeight="1" x14ac:dyDescent="0.3">
      <c r="A319" s="56">
        <v>3802</v>
      </c>
      <c r="B319" s="23" t="s">
        <v>597</v>
      </c>
      <c r="C319" s="14">
        <v>1995</v>
      </c>
      <c r="D319" s="18" t="str">
        <f>VLOOKUP(A319, '전체 목록(n=66)'!C:F, 4, FALSE)</f>
        <v>오스트리아</v>
      </c>
      <c r="E319" s="6">
        <f t="shared" si="67"/>
        <v>114</v>
      </c>
      <c r="F319" s="6" t="s">
        <v>97</v>
      </c>
      <c r="G319" s="6">
        <v>45</v>
      </c>
      <c r="H319" s="6" t="s">
        <v>98</v>
      </c>
      <c r="I319" s="6">
        <f>114-45</f>
        <v>69</v>
      </c>
      <c r="J319" s="6" t="s">
        <v>516</v>
      </c>
      <c r="K319" s="6" t="s">
        <v>130</v>
      </c>
      <c r="L319" s="19"/>
      <c r="M319" s="19"/>
      <c r="N319" s="19"/>
      <c r="O319" s="19"/>
      <c r="P319" s="19">
        <v>46</v>
      </c>
      <c r="Q319" s="19">
        <v>85</v>
      </c>
      <c r="R319" s="19">
        <v>67</v>
      </c>
      <c r="S319" s="19">
        <v>70</v>
      </c>
      <c r="T319" s="19"/>
      <c r="U319" s="19"/>
      <c r="V319" s="19"/>
      <c r="W319" s="19"/>
      <c r="X319" s="19"/>
      <c r="Y319" s="19">
        <v>0.67</v>
      </c>
      <c r="Z319" s="58">
        <f t="shared" si="63"/>
        <v>20.7</v>
      </c>
      <c r="AA319" s="58">
        <f t="shared" si="64"/>
        <v>10.350000000000001</v>
      </c>
      <c r="AB319" s="58">
        <f t="shared" si="65"/>
        <v>24.3</v>
      </c>
      <c r="AC319" s="58">
        <f t="shared" si="66"/>
        <v>58.65</v>
      </c>
      <c r="AD319" s="59">
        <f t="shared" si="52"/>
        <v>0.45999999999999996</v>
      </c>
      <c r="AE319" s="59">
        <f t="shared" si="53"/>
        <v>0.85</v>
      </c>
      <c r="AF319" s="59">
        <f t="shared" si="54"/>
        <v>0.66666666666666663</v>
      </c>
      <c r="AG319" s="59">
        <f t="shared" si="55"/>
        <v>0.70705244122965638</v>
      </c>
      <c r="AH319" s="59">
        <f t="shared" si="56"/>
        <v>0.69605263157894737</v>
      </c>
    </row>
    <row r="320" spans="1:34" ht="18" customHeight="1" x14ac:dyDescent="0.3">
      <c r="A320" s="56">
        <v>3991</v>
      </c>
      <c r="B320" s="23" t="s">
        <v>598</v>
      </c>
      <c r="C320" s="14">
        <v>1993</v>
      </c>
      <c r="D320" s="18" t="str">
        <f>VLOOKUP(A320, '전체 목록(n=66)'!C:F, 4, FALSE)</f>
        <v>네덜란드</v>
      </c>
      <c r="E320" s="6">
        <v>57</v>
      </c>
      <c r="F320" s="6" t="s">
        <v>97</v>
      </c>
      <c r="G320" s="6">
        <v>33</v>
      </c>
      <c r="H320" s="6" t="s">
        <v>98</v>
      </c>
      <c r="I320" s="6">
        <f t="shared" ref="I320:I331" si="68">E320-G320</f>
        <v>24</v>
      </c>
      <c r="J320" s="6" t="s">
        <v>39</v>
      </c>
      <c r="K320" s="6" t="s">
        <v>302</v>
      </c>
      <c r="L320" s="19"/>
      <c r="M320" s="19"/>
      <c r="N320" s="19"/>
      <c r="O320" s="19"/>
      <c r="P320" s="19">
        <v>24</v>
      </c>
      <c r="Q320" s="19">
        <v>96</v>
      </c>
      <c r="R320" s="19">
        <v>89</v>
      </c>
      <c r="S320" s="19">
        <v>48</v>
      </c>
      <c r="T320" s="19"/>
      <c r="U320" s="19"/>
      <c r="V320" s="19"/>
      <c r="W320" s="19"/>
      <c r="X320" s="19"/>
      <c r="Y320" s="19"/>
      <c r="Z320" s="58">
        <f t="shared" si="63"/>
        <v>7.92</v>
      </c>
      <c r="AA320" s="58">
        <f t="shared" si="64"/>
        <v>0.96000000000000085</v>
      </c>
      <c r="AB320" s="58">
        <f t="shared" si="65"/>
        <v>25.08</v>
      </c>
      <c r="AC320" s="58">
        <f t="shared" si="66"/>
        <v>23.04</v>
      </c>
      <c r="AD320" s="59">
        <f t="shared" ref="AD320:AD331" si="69">Z320/(Z320+AB320)</f>
        <v>0.24</v>
      </c>
      <c r="AE320" s="59">
        <f t="shared" ref="AE320:AE331" si="70">AC320/(AA320+AC320)</f>
        <v>0.96</v>
      </c>
      <c r="AF320" s="59">
        <f t="shared" ref="AF320:AF331" si="71">Z320/(Z320+AA320)</f>
        <v>0.89189189189189177</v>
      </c>
      <c r="AG320" s="59">
        <f t="shared" ref="AG320:AG331" si="72">AC320/(AB320+AC320)</f>
        <v>0.47880299251870323</v>
      </c>
      <c r="AH320" s="59">
        <f t="shared" ref="AH320:AH331" si="73">(Z320+AC320)/(Z320+AA320+AB320+AC320)</f>
        <v>0.54315789473684217</v>
      </c>
    </row>
    <row r="321" spans="1:34" ht="18" customHeight="1" x14ac:dyDescent="0.3">
      <c r="A321" s="56">
        <v>3991</v>
      </c>
      <c r="B321" s="23" t="s">
        <v>598</v>
      </c>
      <c r="C321" s="14">
        <v>1993</v>
      </c>
      <c r="D321" s="18" t="str">
        <f>VLOOKUP(A321, '전체 목록(n=66)'!C:F, 4, FALSE)</f>
        <v>네덜란드</v>
      </c>
      <c r="E321" s="6">
        <v>57</v>
      </c>
      <c r="F321" s="6" t="s">
        <v>97</v>
      </c>
      <c r="G321" s="6">
        <v>33</v>
      </c>
      <c r="H321" s="6" t="s">
        <v>98</v>
      </c>
      <c r="I321" s="6">
        <f t="shared" si="68"/>
        <v>24</v>
      </c>
      <c r="J321" s="6" t="s">
        <v>121</v>
      </c>
      <c r="K321" s="6" t="s">
        <v>302</v>
      </c>
      <c r="L321" s="19"/>
      <c r="M321" s="19"/>
      <c r="N321" s="19"/>
      <c r="O321" s="19"/>
      <c r="P321" s="19">
        <v>55</v>
      </c>
      <c r="Q321" s="19">
        <v>79</v>
      </c>
      <c r="R321" s="19">
        <v>78</v>
      </c>
      <c r="S321" s="19">
        <v>56</v>
      </c>
      <c r="T321" s="19"/>
      <c r="U321" s="19"/>
      <c r="V321" s="19"/>
      <c r="W321" s="19"/>
      <c r="X321" s="19"/>
      <c r="Y321" s="19"/>
      <c r="Z321" s="58">
        <f t="shared" si="63"/>
        <v>18.149999999999999</v>
      </c>
      <c r="AA321" s="58">
        <f t="shared" si="64"/>
        <v>5.0399999999999991</v>
      </c>
      <c r="AB321" s="58">
        <f t="shared" si="65"/>
        <v>14.850000000000001</v>
      </c>
      <c r="AC321" s="58">
        <f t="shared" si="66"/>
        <v>18.96</v>
      </c>
      <c r="AD321" s="59">
        <f t="shared" si="69"/>
        <v>0.54999999999999993</v>
      </c>
      <c r="AE321" s="59">
        <f t="shared" si="70"/>
        <v>0.79</v>
      </c>
      <c r="AF321" s="59">
        <f t="shared" si="71"/>
        <v>0.78266494178525226</v>
      </c>
      <c r="AG321" s="59">
        <f t="shared" si="72"/>
        <v>0.56078083407275947</v>
      </c>
      <c r="AH321" s="59">
        <f t="shared" si="73"/>
        <v>0.65105263157894733</v>
      </c>
    </row>
    <row r="322" spans="1:34" ht="18" customHeight="1" x14ac:dyDescent="0.3">
      <c r="A322" s="56">
        <v>3991</v>
      </c>
      <c r="B322" s="23" t="s">
        <v>598</v>
      </c>
      <c r="C322" s="14">
        <v>1993</v>
      </c>
      <c r="D322" s="18" t="str">
        <f>VLOOKUP(A322, '전체 목록(n=66)'!C:F, 4, FALSE)</f>
        <v>네덜란드</v>
      </c>
      <c r="E322" s="6">
        <v>86</v>
      </c>
      <c r="F322" s="6" t="s">
        <v>97</v>
      </c>
      <c r="G322" s="6">
        <v>43</v>
      </c>
      <c r="H322" s="6" t="s">
        <v>98</v>
      </c>
      <c r="I322" s="6">
        <f t="shared" si="68"/>
        <v>43</v>
      </c>
      <c r="J322" s="6" t="s">
        <v>39</v>
      </c>
      <c r="K322" s="6" t="s">
        <v>190</v>
      </c>
      <c r="L322" s="19"/>
      <c r="M322" s="19"/>
      <c r="N322" s="19"/>
      <c r="O322" s="19"/>
      <c r="P322" s="19">
        <v>44</v>
      </c>
      <c r="Q322" s="19">
        <v>95</v>
      </c>
      <c r="R322" s="19">
        <v>91</v>
      </c>
      <c r="S322" s="19">
        <v>63</v>
      </c>
      <c r="T322" s="19"/>
      <c r="U322" s="19"/>
      <c r="V322" s="19"/>
      <c r="W322" s="19"/>
      <c r="X322" s="19"/>
      <c r="Y322" s="19"/>
      <c r="Z322" s="58">
        <f t="shared" si="63"/>
        <v>18.920000000000002</v>
      </c>
      <c r="AA322" s="58">
        <f t="shared" si="64"/>
        <v>2.1499999999999986</v>
      </c>
      <c r="AB322" s="58">
        <f t="shared" si="65"/>
        <v>24.08</v>
      </c>
      <c r="AC322" s="58">
        <f t="shared" si="66"/>
        <v>40.85</v>
      </c>
      <c r="AD322" s="59">
        <f t="shared" si="69"/>
        <v>0.44000000000000006</v>
      </c>
      <c r="AE322" s="59">
        <f t="shared" si="70"/>
        <v>0.95000000000000007</v>
      </c>
      <c r="AF322" s="59">
        <f t="shared" si="71"/>
        <v>0.8979591836734695</v>
      </c>
      <c r="AG322" s="59">
        <f t="shared" si="72"/>
        <v>0.62913907284768211</v>
      </c>
      <c r="AH322" s="59">
        <f t="shared" si="73"/>
        <v>0.69500000000000006</v>
      </c>
    </row>
    <row r="323" spans="1:34" ht="13.5" customHeight="1" x14ac:dyDescent="0.3">
      <c r="A323" s="56">
        <v>3991</v>
      </c>
      <c r="B323" s="23" t="s">
        <v>598</v>
      </c>
      <c r="C323" s="14">
        <v>1993</v>
      </c>
      <c r="D323" s="18" t="str">
        <f>VLOOKUP(A323, '전체 목록(n=66)'!C:F, 4, FALSE)</f>
        <v>네덜란드</v>
      </c>
      <c r="E323" s="6">
        <v>86</v>
      </c>
      <c r="F323" s="6" t="s">
        <v>97</v>
      </c>
      <c r="G323" s="6">
        <v>43</v>
      </c>
      <c r="H323" s="6" t="s">
        <v>98</v>
      </c>
      <c r="I323" s="6">
        <f t="shared" si="68"/>
        <v>43</v>
      </c>
      <c r="J323" s="6" t="s">
        <v>121</v>
      </c>
      <c r="K323" s="6" t="s">
        <v>190</v>
      </c>
      <c r="L323" s="19"/>
      <c r="M323" s="19"/>
      <c r="N323" s="19"/>
      <c r="O323" s="19"/>
      <c r="P323" s="19">
        <v>48</v>
      </c>
      <c r="Q323" s="19">
        <v>70</v>
      </c>
      <c r="R323" s="19">
        <v>62</v>
      </c>
      <c r="S323" s="19">
        <v>58</v>
      </c>
      <c r="T323" s="19"/>
      <c r="U323" s="19"/>
      <c r="V323" s="19"/>
      <c r="W323" s="19"/>
      <c r="X323" s="19"/>
      <c r="Y323" s="19"/>
      <c r="Z323" s="58">
        <f t="shared" si="63"/>
        <v>20.64</v>
      </c>
      <c r="AA323" s="58">
        <f t="shared" si="64"/>
        <v>12.899999999999999</v>
      </c>
      <c r="AB323" s="58">
        <f t="shared" si="65"/>
        <v>22.36</v>
      </c>
      <c r="AC323" s="58">
        <f t="shared" si="66"/>
        <v>30.1</v>
      </c>
      <c r="AD323" s="59">
        <f t="shared" si="69"/>
        <v>0.48000000000000004</v>
      </c>
      <c r="AE323" s="59">
        <f t="shared" si="70"/>
        <v>0.70000000000000007</v>
      </c>
      <c r="AF323" s="59">
        <f t="shared" si="71"/>
        <v>0.61538461538461542</v>
      </c>
      <c r="AG323" s="59">
        <f t="shared" si="72"/>
        <v>0.57377049180327866</v>
      </c>
      <c r="AH323" s="59">
        <f t="shared" si="73"/>
        <v>0.59</v>
      </c>
    </row>
    <row r="324" spans="1:34" ht="18" customHeight="1" x14ac:dyDescent="0.3">
      <c r="A324" s="56">
        <v>3991</v>
      </c>
      <c r="B324" s="23" t="s">
        <v>598</v>
      </c>
      <c r="C324" s="14">
        <v>1993</v>
      </c>
      <c r="D324" s="18" t="str">
        <f>VLOOKUP(A324, '전체 목록(n=66)'!C:F, 4, FALSE)</f>
        <v>네덜란드</v>
      </c>
      <c r="E324" s="6">
        <v>49</v>
      </c>
      <c r="F324" s="6" t="s">
        <v>97</v>
      </c>
      <c r="G324" s="6">
        <v>31</v>
      </c>
      <c r="H324" s="6" t="s">
        <v>98</v>
      </c>
      <c r="I324" s="6">
        <f t="shared" si="68"/>
        <v>18</v>
      </c>
      <c r="J324" s="6" t="s">
        <v>39</v>
      </c>
      <c r="K324" s="6" t="s">
        <v>191</v>
      </c>
      <c r="L324" s="19"/>
      <c r="M324" s="19"/>
      <c r="N324" s="19"/>
      <c r="O324" s="19"/>
      <c r="P324" s="19">
        <v>55</v>
      </c>
      <c r="Q324" s="19">
        <v>83</v>
      </c>
      <c r="R324" s="19">
        <v>85</v>
      </c>
      <c r="S324" s="19">
        <v>52</v>
      </c>
      <c r="T324" s="19"/>
      <c r="U324" s="19"/>
      <c r="V324" s="19"/>
      <c r="W324" s="19"/>
      <c r="X324" s="19"/>
      <c r="Y324" s="19"/>
      <c r="Z324" s="58">
        <f t="shared" si="63"/>
        <v>17.05</v>
      </c>
      <c r="AA324" s="58">
        <f t="shared" si="64"/>
        <v>3.0600000000000005</v>
      </c>
      <c r="AB324" s="58">
        <f t="shared" si="65"/>
        <v>13.95</v>
      </c>
      <c r="AC324" s="58">
        <f t="shared" si="66"/>
        <v>14.94</v>
      </c>
      <c r="AD324" s="59">
        <f t="shared" si="69"/>
        <v>0.55000000000000004</v>
      </c>
      <c r="AE324" s="59">
        <f t="shared" si="70"/>
        <v>0.83</v>
      </c>
      <c r="AF324" s="59">
        <f t="shared" si="71"/>
        <v>0.8478368970661363</v>
      </c>
      <c r="AG324" s="59">
        <f t="shared" si="72"/>
        <v>0.51713395638629278</v>
      </c>
      <c r="AH324" s="59">
        <f t="shared" si="73"/>
        <v>0.65285714285714291</v>
      </c>
    </row>
    <row r="325" spans="1:34" ht="13.5" customHeight="1" x14ac:dyDescent="0.3">
      <c r="A325" s="56">
        <v>3991</v>
      </c>
      <c r="B325" s="23" t="s">
        <v>598</v>
      </c>
      <c r="C325" s="14">
        <v>1993</v>
      </c>
      <c r="D325" s="18" t="str">
        <f>VLOOKUP(A325, '전체 목록(n=66)'!C:F, 4, FALSE)</f>
        <v>네덜란드</v>
      </c>
      <c r="E325" s="6">
        <v>49</v>
      </c>
      <c r="F325" s="6" t="s">
        <v>97</v>
      </c>
      <c r="G325" s="6">
        <v>31</v>
      </c>
      <c r="H325" s="6" t="s">
        <v>98</v>
      </c>
      <c r="I325" s="6">
        <f t="shared" si="68"/>
        <v>18</v>
      </c>
      <c r="J325" s="6" t="s">
        <v>121</v>
      </c>
      <c r="K325" s="6" t="s">
        <v>191</v>
      </c>
      <c r="L325" s="19"/>
      <c r="M325" s="19"/>
      <c r="N325" s="19"/>
      <c r="O325" s="19"/>
      <c r="P325" s="19">
        <v>58</v>
      </c>
      <c r="Q325" s="19">
        <v>89</v>
      </c>
      <c r="R325" s="19">
        <v>90</v>
      </c>
      <c r="S325" s="19">
        <v>55</v>
      </c>
      <c r="T325" s="19"/>
      <c r="U325" s="19"/>
      <c r="V325" s="19"/>
      <c r="W325" s="19"/>
      <c r="X325" s="19"/>
      <c r="Y325" s="19"/>
      <c r="Z325" s="58">
        <f t="shared" si="63"/>
        <v>17.98</v>
      </c>
      <c r="AA325" s="58">
        <f t="shared" si="64"/>
        <v>1.9800000000000004</v>
      </c>
      <c r="AB325" s="58">
        <f t="shared" si="65"/>
        <v>13.02</v>
      </c>
      <c r="AC325" s="58">
        <f t="shared" si="66"/>
        <v>16.02</v>
      </c>
      <c r="AD325" s="59">
        <f t="shared" si="69"/>
        <v>0.57999999999999996</v>
      </c>
      <c r="AE325" s="59">
        <f t="shared" si="70"/>
        <v>0.89</v>
      </c>
      <c r="AF325" s="59">
        <f t="shared" si="71"/>
        <v>0.90080160320641278</v>
      </c>
      <c r="AG325" s="59">
        <f t="shared" si="72"/>
        <v>0.55165289256198347</v>
      </c>
      <c r="AH325" s="59">
        <f t="shared" si="73"/>
        <v>0.69387755102040816</v>
      </c>
    </row>
    <row r="326" spans="1:34" ht="18" customHeight="1" x14ac:dyDescent="0.3">
      <c r="A326" s="56">
        <v>3991</v>
      </c>
      <c r="B326" s="23" t="s">
        <v>598</v>
      </c>
      <c r="C326" s="14">
        <v>1993</v>
      </c>
      <c r="D326" s="18" t="str">
        <f>VLOOKUP(A326, '전체 목록(n=66)'!C:F, 4, FALSE)</f>
        <v>네덜란드</v>
      </c>
      <c r="E326" s="6">
        <v>37</v>
      </c>
      <c r="F326" s="6" t="s">
        <v>97</v>
      </c>
      <c r="G326" s="6">
        <v>18</v>
      </c>
      <c r="H326" s="6" t="s">
        <v>98</v>
      </c>
      <c r="I326" s="6">
        <f t="shared" si="68"/>
        <v>19</v>
      </c>
      <c r="J326" s="6" t="s">
        <v>39</v>
      </c>
      <c r="K326" s="6" t="s">
        <v>310</v>
      </c>
      <c r="L326" s="19"/>
      <c r="M326" s="19"/>
      <c r="N326" s="19"/>
      <c r="O326" s="19"/>
      <c r="P326" s="19">
        <v>61</v>
      </c>
      <c r="Q326" s="19">
        <v>100</v>
      </c>
      <c r="R326" s="19">
        <v>100</v>
      </c>
      <c r="S326" s="19">
        <v>73</v>
      </c>
      <c r="T326" s="19"/>
      <c r="U326" s="19"/>
      <c r="V326" s="19"/>
      <c r="W326" s="19"/>
      <c r="X326" s="19"/>
      <c r="Y326" s="19"/>
      <c r="Z326" s="58">
        <f t="shared" si="63"/>
        <v>10.98</v>
      </c>
      <c r="AA326" s="58">
        <f t="shared" si="64"/>
        <v>0</v>
      </c>
      <c r="AB326" s="58">
        <f t="shared" si="65"/>
        <v>7.02</v>
      </c>
      <c r="AC326" s="58">
        <f t="shared" si="66"/>
        <v>19</v>
      </c>
      <c r="AD326" s="59">
        <f t="shared" si="69"/>
        <v>0.61</v>
      </c>
      <c r="AE326" s="59">
        <f t="shared" si="70"/>
        <v>1</v>
      </c>
      <c r="AF326" s="59">
        <f t="shared" si="71"/>
        <v>1</v>
      </c>
      <c r="AG326" s="59">
        <f t="shared" si="72"/>
        <v>0.73020753266717908</v>
      </c>
      <c r="AH326" s="59">
        <f t="shared" si="73"/>
        <v>0.81027027027027032</v>
      </c>
    </row>
    <row r="327" spans="1:34" ht="13.5" customHeight="1" x14ac:dyDescent="0.3">
      <c r="A327" s="56">
        <v>3991</v>
      </c>
      <c r="B327" s="23" t="s">
        <v>598</v>
      </c>
      <c r="C327" s="14">
        <v>1993</v>
      </c>
      <c r="D327" s="18" t="str">
        <f>VLOOKUP(A327, '전체 목록(n=66)'!C:F, 4, FALSE)</f>
        <v>네덜란드</v>
      </c>
      <c r="E327" s="6">
        <v>37</v>
      </c>
      <c r="F327" s="6" t="s">
        <v>97</v>
      </c>
      <c r="G327" s="6">
        <v>18</v>
      </c>
      <c r="H327" s="6" t="s">
        <v>98</v>
      </c>
      <c r="I327" s="6">
        <f t="shared" si="68"/>
        <v>19</v>
      </c>
      <c r="J327" s="6" t="s">
        <v>121</v>
      </c>
      <c r="K327" s="6" t="s">
        <v>310</v>
      </c>
      <c r="L327" s="19"/>
      <c r="M327" s="19"/>
      <c r="N327" s="19"/>
      <c r="O327" s="19"/>
      <c r="P327" s="19">
        <v>78</v>
      </c>
      <c r="Q327" s="19">
        <v>84</v>
      </c>
      <c r="R327" s="19">
        <v>82</v>
      </c>
      <c r="S327" s="19">
        <v>80</v>
      </c>
      <c r="T327" s="19"/>
      <c r="U327" s="19"/>
      <c r="V327" s="19"/>
      <c r="W327" s="19"/>
      <c r="X327" s="19"/>
      <c r="Y327" s="19"/>
      <c r="Z327" s="58">
        <f t="shared" si="63"/>
        <v>14.04</v>
      </c>
      <c r="AA327" s="58">
        <f t="shared" si="64"/>
        <v>3.0399999999999991</v>
      </c>
      <c r="AB327" s="58">
        <f t="shared" si="65"/>
        <v>3.9600000000000009</v>
      </c>
      <c r="AC327" s="58">
        <f t="shared" si="66"/>
        <v>15.96</v>
      </c>
      <c r="AD327" s="59">
        <f t="shared" si="69"/>
        <v>0.77999999999999992</v>
      </c>
      <c r="AE327" s="59">
        <f t="shared" si="70"/>
        <v>0.84000000000000008</v>
      </c>
      <c r="AF327" s="59">
        <f t="shared" si="71"/>
        <v>0.82201405152224827</v>
      </c>
      <c r="AG327" s="59">
        <f t="shared" si="72"/>
        <v>0.8012048192771084</v>
      </c>
      <c r="AH327" s="59">
        <f t="shared" si="73"/>
        <v>0.81081081081081086</v>
      </c>
    </row>
    <row r="328" spans="1:34" ht="18" customHeight="1" x14ac:dyDescent="0.3">
      <c r="A328" s="56">
        <v>3991</v>
      </c>
      <c r="B328" s="23" t="s">
        <v>598</v>
      </c>
      <c r="C328" s="14">
        <v>1993</v>
      </c>
      <c r="D328" s="18" t="str">
        <f>VLOOKUP(A328, '전체 목록(n=66)'!C:F, 4, FALSE)</f>
        <v>네덜란드</v>
      </c>
      <c r="E328" s="6">
        <v>42</v>
      </c>
      <c r="F328" s="6" t="s">
        <v>97</v>
      </c>
      <c r="G328" s="6">
        <v>21</v>
      </c>
      <c r="H328" s="6" t="s">
        <v>98</v>
      </c>
      <c r="I328" s="6">
        <f t="shared" si="68"/>
        <v>21</v>
      </c>
      <c r="J328" s="6" t="s">
        <v>39</v>
      </c>
      <c r="K328" s="6" t="s">
        <v>311</v>
      </c>
      <c r="L328" s="19"/>
      <c r="M328" s="19"/>
      <c r="N328" s="19"/>
      <c r="O328" s="19"/>
      <c r="P328" s="19">
        <v>76</v>
      </c>
      <c r="Q328" s="19">
        <v>90</v>
      </c>
      <c r="R328" s="19">
        <v>89</v>
      </c>
      <c r="S328" s="19">
        <v>79</v>
      </c>
      <c r="T328" s="19"/>
      <c r="U328" s="19"/>
      <c r="V328" s="19"/>
      <c r="W328" s="19"/>
      <c r="X328" s="19"/>
      <c r="Y328" s="19"/>
      <c r="Z328" s="58">
        <f t="shared" si="63"/>
        <v>15.96</v>
      </c>
      <c r="AA328" s="58">
        <f t="shared" si="64"/>
        <v>2.1000000000000014</v>
      </c>
      <c r="AB328" s="58">
        <f t="shared" si="65"/>
        <v>5.0399999999999991</v>
      </c>
      <c r="AC328" s="58">
        <f t="shared" si="66"/>
        <v>18.899999999999999</v>
      </c>
      <c r="AD328" s="59">
        <f t="shared" si="69"/>
        <v>0.76</v>
      </c>
      <c r="AE328" s="59">
        <f t="shared" si="70"/>
        <v>0.89999999999999991</v>
      </c>
      <c r="AF328" s="59">
        <f t="shared" si="71"/>
        <v>0.88372093023255804</v>
      </c>
      <c r="AG328" s="59">
        <f t="shared" si="72"/>
        <v>0.78947368421052633</v>
      </c>
      <c r="AH328" s="59">
        <f t="shared" si="73"/>
        <v>0.83</v>
      </c>
    </row>
    <row r="329" spans="1:34" ht="13.5" customHeight="1" x14ac:dyDescent="0.3">
      <c r="A329" s="56">
        <v>3991</v>
      </c>
      <c r="B329" s="23" t="s">
        <v>598</v>
      </c>
      <c r="C329" s="14">
        <v>1993</v>
      </c>
      <c r="D329" s="18" t="str">
        <f>VLOOKUP(A329, '전체 목록(n=66)'!C:F, 4, FALSE)</f>
        <v>네덜란드</v>
      </c>
      <c r="E329" s="6">
        <v>42</v>
      </c>
      <c r="F329" s="6" t="s">
        <v>97</v>
      </c>
      <c r="G329" s="6">
        <v>21</v>
      </c>
      <c r="H329" s="6" t="s">
        <v>98</v>
      </c>
      <c r="I329" s="6">
        <f t="shared" si="68"/>
        <v>21</v>
      </c>
      <c r="J329" s="6" t="s">
        <v>121</v>
      </c>
      <c r="K329" s="6" t="s">
        <v>311</v>
      </c>
      <c r="L329" s="19"/>
      <c r="M329" s="19"/>
      <c r="N329" s="19"/>
      <c r="O329" s="19"/>
      <c r="P329" s="19">
        <v>95</v>
      </c>
      <c r="Q329" s="19">
        <v>62</v>
      </c>
      <c r="R329" s="19">
        <v>71</v>
      </c>
      <c r="S329" s="19">
        <v>93</v>
      </c>
      <c r="T329" s="19"/>
      <c r="U329" s="19"/>
      <c r="V329" s="19"/>
      <c r="W329" s="19"/>
      <c r="X329" s="19"/>
      <c r="Y329" s="19"/>
      <c r="Z329" s="58">
        <f t="shared" si="63"/>
        <v>19.95</v>
      </c>
      <c r="AA329" s="58">
        <f t="shared" si="64"/>
        <v>7.98</v>
      </c>
      <c r="AB329" s="58">
        <f t="shared" si="65"/>
        <v>1.0500000000000007</v>
      </c>
      <c r="AC329" s="58">
        <f t="shared" si="66"/>
        <v>13.02</v>
      </c>
      <c r="AD329" s="59">
        <f t="shared" si="69"/>
        <v>0.95</v>
      </c>
      <c r="AE329" s="59">
        <f t="shared" si="70"/>
        <v>0.62</v>
      </c>
      <c r="AF329" s="59">
        <f t="shared" si="71"/>
        <v>0.7142857142857143</v>
      </c>
      <c r="AG329" s="59">
        <f t="shared" si="72"/>
        <v>0.9253731343283581</v>
      </c>
      <c r="AH329" s="59">
        <f t="shared" si="73"/>
        <v>0.78499999999999992</v>
      </c>
    </row>
    <row r="330" spans="1:34" ht="13.5" customHeight="1" x14ac:dyDescent="0.3">
      <c r="A330" s="56">
        <v>3991</v>
      </c>
      <c r="B330" s="23" t="s">
        <v>598</v>
      </c>
      <c r="C330" s="14">
        <v>1993</v>
      </c>
      <c r="D330" s="18" t="str">
        <f>VLOOKUP(A330, '전체 목록(n=66)'!C:F, 4, FALSE)</f>
        <v>네덜란드</v>
      </c>
      <c r="E330" s="6">
        <v>19</v>
      </c>
      <c r="F330" s="6" t="s">
        <v>97</v>
      </c>
      <c r="G330" s="6">
        <v>7</v>
      </c>
      <c r="H330" s="6" t="s">
        <v>98</v>
      </c>
      <c r="I330" s="6">
        <f t="shared" si="68"/>
        <v>12</v>
      </c>
      <c r="J330" s="6" t="s">
        <v>39</v>
      </c>
      <c r="K330" s="6" t="s">
        <v>312</v>
      </c>
      <c r="L330" s="19"/>
      <c r="M330" s="19"/>
      <c r="N330" s="19"/>
      <c r="O330" s="19"/>
      <c r="P330" s="19">
        <v>71</v>
      </c>
      <c r="Q330" s="19">
        <v>67</v>
      </c>
      <c r="R330" s="19">
        <v>56</v>
      </c>
      <c r="S330" s="19">
        <v>80</v>
      </c>
      <c r="T330" s="19"/>
      <c r="U330" s="19"/>
      <c r="V330" s="19"/>
      <c r="W330" s="19"/>
      <c r="X330" s="19"/>
      <c r="Y330" s="19"/>
      <c r="Z330" s="58">
        <f t="shared" si="63"/>
        <v>4.97</v>
      </c>
      <c r="AA330" s="58">
        <f t="shared" si="64"/>
        <v>3.9600000000000009</v>
      </c>
      <c r="AB330" s="58">
        <f t="shared" si="65"/>
        <v>2.0300000000000002</v>
      </c>
      <c r="AC330" s="58">
        <f t="shared" si="66"/>
        <v>8.0399999999999991</v>
      </c>
      <c r="AD330" s="59">
        <f t="shared" si="69"/>
        <v>0.71</v>
      </c>
      <c r="AE330" s="59">
        <f t="shared" si="70"/>
        <v>0.66999999999999993</v>
      </c>
      <c r="AF330" s="59">
        <f t="shared" si="71"/>
        <v>0.55655095184770431</v>
      </c>
      <c r="AG330" s="59">
        <f t="shared" si="72"/>
        <v>0.798411122144985</v>
      </c>
      <c r="AH330" s="59">
        <f t="shared" si="73"/>
        <v>0.68473684210526309</v>
      </c>
    </row>
    <row r="331" spans="1:34" ht="16.5" customHeight="1" x14ac:dyDescent="0.3">
      <c r="A331" s="56">
        <v>3991</v>
      </c>
      <c r="B331" s="23" t="s">
        <v>598</v>
      </c>
      <c r="C331" s="14">
        <v>1993</v>
      </c>
      <c r="D331" s="18" t="str">
        <f>VLOOKUP(A331, '전체 목록(n=66)'!C:F, 4, FALSE)</f>
        <v>네덜란드</v>
      </c>
      <c r="E331" s="6">
        <v>19</v>
      </c>
      <c r="F331" s="6" t="s">
        <v>97</v>
      </c>
      <c r="G331" s="6">
        <v>7</v>
      </c>
      <c r="H331" s="6" t="s">
        <v>98</v>
      </c>
      <c r="I331" s="6">
        <f t="shared" si="68"/>
        <v>12</v>
      </c>
      <c r="J331" s="6" t="s">
        <v>121</v>
      </c>
      <c r="K331" s="6" t="s">
        <v>312</v>
      </c>
      <c r="L331" s="19"/>
      <c r="M331" s="19"/>
      <c r="N331" s="19"/>
      <c r="O331" s="19"/>
      <c r="P331" s="19">
        <v>100</v>
      </c>
      <c r="Q331" s="19">
        <v>58</v>
      </c>
      <c r="R331" s="19">
        <v>58</v>
      </c>
      <c r="S331" s="19">
        <v>100</v>
      </c>
      <c r="T331" s="19"/>
      <c r="U331" s="19"/>
      <c r="V331" s="19"/>
      <c r="W331" s="19"/>
      <c r="X331" s="19"/>
      <c r="Y331" s="19"/>
      <c r="Z331" s="58">
        <f t="shared" si="63"/>
        <v>7</v>
      </c>
      <c r="AA331" s="58">
        <f t="shared" si="64"/>
        <v>5.04</v>
      </c>
      <c r="AB331" s="58">
        <f t="shared" si="65"/>
        <v>0</v>
      </c>
      <c r="AC331" s="58">
        <f t="shared" si="66"/>
        <v>6.96</v>
      </c>
      <c r="AD331" s="59">
        <f t="shared" si="69"/>
        <v>1</v>
      </c>
      <c r="AE331" s="59">
        <f t="shared" si="70"/>
        <v>0.57999999999999996</v>
      </c>
      <c r="AF331" s="59">
        <f t="shared" si="71"/>
        <v>0.58139534883720934</v>
      </c>
      <c r="AG331" s="59">
        <f t="shared" si="72"/>
        <v>1</v>
      </c>
      <c r="AH331" s="59">
        <f t="shared" si="73"/>
        <v>0.73473684210526324</v>
      </c>
    </row>
  </sheetData>
  <sheetProtection algorithmName="SHA-512" hashValue="d3xpuo/XL65rrP6VY45wHhVin30HGZ8wizP35yWoXzk3YgRSnsOlGUlFTKz5xUtPecK28hYqWp5/vZGaW+usMw==" saltValue="ZeZxMGbPNY93Xa196KghKg==" spinCount="100000" sheet="1" objects="1" scenarios="1" selectLockedCells="1" selectUnlockedCells="1"/>
  <mergeCells count="12">
    <mergeCell ref="Z1:AH1"/>
    <mergeCell ref="F2:G2"/>
    <mergeCell ref="H2:I2"/>
    <mergeCell ref="W2:X2"/>
    <mergeCell ref="L1:Y1"/>
    <mergeCell ref="K1:K3"/>
    <mergeCell ref="D1:D3"/>
    <mergeCell ref="J1:J3"/>
    <mergeCell ref="A1:A3"/>
    <mergeCell ref="B1:B3"/>
    <mergeCell ref="C1:C3"/>
    <mergeCell ref="E1:I1"/>
  </mergeCells>
  <phoneticPr fontId="1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="70" zoomScaleNormal="70" workbookViewId="0">
      <pane ySplit="3" topLeftCell="A4" activePane="bottomLeft" state="frozen"/>
      <selection pane="bottomLeft" activeCell="I34" sqref="I34"/>
    </sheetView>
  </sheetViews>
  <sheetFormatPr defaultRowHeight="13.5" x14ac:dyDescent="0.3"/>
  <cols>
    <col min="1" max="1" width="6.375" style="15" customWidth="1"/>
    <col min="2" max="2" width="9.625" style="19" customWidth="1"/>
    <col min="3" max="3" width="8.375" style="41" customWidth="1"/>
    <col min="4" max="4" width="11.25" style="19" customWidth="1"/>
    <col min="5" max="5" width="5.5" style="2" customWidth="1"/>
    <col min="6" max="6" width="9.375" style="2" customWidth="1"/>
    <col min="7" max="7" width="6.75" style="2" customWidth="1"/>
    <col min="8" max="8" width="7.875" style="2" customWidth="1"/>
    <col min="9" max="9" width="6.75" style="2" customWidth="1"/>
    <col min="10" max="10" width="12.875" style="2" customWidth="1"/>
    <col min="11" max="11" width="18.75" style="2" bestFit="1" customWidth="1"/>
    <col min="12" max="14" width="4.5" style="1" customWidth="1"/>
    <col min="15" max="15" width="6.125" style="1" customWidth="1"/>
    <col min="16" max="23" width="5.5" style="1" customWidth="1"/>
    <col min="24" max="24" width="8.875" style="1" bestFit="1" customWidth="1"/>
    <col min="25" max="25" width="5.5" style="1" customWidth="1"/>
    <col min="26" max="33" width="5.75" style="1" customWidth="1"/>
    <col min="34" max="34" width="10.125" style="1" bestFit="1" customWidth="1"/>
    <col min="35" max="16384" width="9" style="1"/>
  </cols>
  <sheetData>
    <row r="1" spans="1:34" ht="16.5" customHeight="1" x14ac:dyDescent="0.3">
      <c r="A1" s="102" t="s">
        <v>0</v>
      </c>
      <c r="B1" s="102" t="s">
        <v>1</v>
      </c>
      <c r="C1" s="102" t="s">
        <v>33</v>
      </c>
      <c r="D1" s="102" t="s">
        <v>3</v>
      </c>
      <c r="E1" s="108" t="s">
        <v>4</v>
      </c>
      <c r="F1" s="108"/>
      <c r="G1" s="108"/>
      <c r="H1" s="108"/>
      <c r="I1" s="108"/>
      <c r="J1" s="105" t="s">
        <v>618</v>
      </c>
      <c r="K1" s="105" t="s">
        <v>314</v>
      </c>
      <c r="L1" s="111" t="s">
        <v>627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09" t="s">
        <v>5</v>
      </c>
      <c r="AA1" s="109"/>
      <c r="AB1" s="109"/>
      <c r="AC1" s="109"/>
      <c r="AD1" s="109"/>
      <c r="AE1" s="109"/>
      <c r="AF1" s="109"/>
      <c r="AG1" s="109"/>
      <c r="AH1" s="109"/>
    </row>
    <row r="2" spans="1:34" ht="17.25" customHeight="1" x14ac:dyDescent="0.3">
      <c r="A2" s="103"/>
      <c r="B2" s="103"/>
      <c r="C2" s="103"/>
      <c r="D2" s="103"/>
      <c r="E2" s="52" t="s">
        <v>34</v>
      </c>
      <c r="F2" s="108" t="s">
        <v>6</v>
      </c>
      <c r="G2" s="108"/>
      <c r="H2" s="108" t="s">
        <v>7</v>
      </c>
      <c r="I2" s="108"/>
      <c r="J2" s="106"/>
      <c r="K2" s="106"/>
      <c r="L2" s="4" t="s">
        <v>8</v>
      </c>
      <c r="M2" s="4" t="s">
        <v>9</v>
      </c>
      <c r="N2" s="4" t="s">
        <v>10</v>
      </c>
      <c r="O2" s="4" t="s">
        <v>11</v>
      </c>
      <c r="P2" s="53" t="s">
        <v>12</v>
      </c>
      <c r="Q2" s="53" t="s">
        <v>13</v>
      </c>
      <c r="R2" s="53" t="s">
        <v>14</v>
      </c>
      <c r="S2" s="53" t="s">
        <v>15</v>
      </c>
      <c r="T2" s="53" t="s">
        <v>16</v>
      </c>
      <c r="U2" s="53" t="s">
        <v>17</v>
      </c>
      <c r="V2" s="3" t="s">
        <v>18</v>
      </c>
      <c r="W2" s="110" t="s">
        <v>19</v>
      </c>
      <c r="X2" s="110"/>
      <c r="Y2" s="53" t="s">
        <v>20</v>
      </c>
      <c r="Z2" s="5" t="s">
        <v>8</v>
      </c>
      <c r="AA2" s="5" t="s">
        <v>9</v>
      </c>
      <c r="AB2" s="5" t="s">
        <v>10</v>
      </c>
      <c r="AC2" s="5" t="s">
        <v>11</v>
      </c>
      <c r="AD2" s="53" t="s">
        <v>21</v>
      </c>
      <c r="AE2" s="53" t="s">
        <v>13</v>
      </c>
      <c r="AF2" s="53" t="s">
        <v>14</v>
      </c>
      <c r="AG2" s="53" t="s">
        <v>15</v>
      </c>
      <c r="AH2" s="3" t="s">
        <v>18</v>
      </c>
    </row>
    <row r="3" spans="1:34" ht="17.25" customHeight="1" x14ac:dyDescent="0.3">
      <c r="A3" s="104"/>
      <c r="B3" s="104"/>
      <c r="C3" s="104"/>
      <c r="D3" s="104"/>
      <c r="E3" s="25" t="s">
        <v>23</v>
      </c>
      <c r="F3" s="25" t="s">
        <v>22</v>
      </c>
      <c r="G3" s="25" t="s">
        <v>23</v>
      </c>
      <c r="H3" s="25" t="s">
        <v>22</v>
      </c>
      <c r="I3" s="25" t="s">
        <v>23</v>
      </c>
      <c r="J3" s="107"/>
      <c r="K3" s="107"/>
      <c r="L3" s="26" t="s">
        <v>23</v>
      </c>
      <c r="M3" s="26" t="s">
        <v>23</v>
      </c>
      <c r="N3" s="26" t="s">
        <v>23</v>
      </c>
      <c r="O3" s="26" t="s">
        <v>23</v>
      </c>
      <c r="P3" s="27" t="s">
        <v>24</v>
      </c>
      <c r="Q3" s="27" t="s">
        <v>24</v>
      </c>
      <c r="R3" s="27" t="s">
        <v>24</v>
      </c>
      <c r="S3" s="27" t="s">
        <v>24</v>
      </c>
      <c r="T3" s="27" t="s">
        <v>24</v>
      </c>
      <c r="U3" s="27" t="s">
        <v>24</v>
      </c>
      <c r="V3" s="27" t="s">
        <v>24</v>
      </c>
      <c r="W3" s="27" t="s">
        <v>25</v>
      </c>
      <c r="X3" s="27" t="s">
        <v>26</v>
      </c>
      <c r="Y3" s="27" t="s">
        <v>27</v>
      </c>
      <c r="Z3" s="26" t="s">
        <v>23</v>
      </c>
      <c r="AA3" s="26" t="s">
        <v>23</v>
      </c>
      <c r="AB3" s="26" t="s">
        <v>23</v>
      </c>
      <c r="AC3" s="26" t="s">
        <v>23</v>
      </c>
      <c r="AD3" s="27" t="s">
        <v>24</v>
      </c>
      <c r="AE3" s="27" t="s">
        <v>24</v>
      </c>
      <c r="AF3" s="27" t="s">
        <v>24</v>
      </c>
      <c r="AG3" s="27" t="s">
        <v>24</v>
      </c>
      <c r="AH3" s="27" t="s">
        <v>24</v>
      </c>
    </row>
    <row r="4" spans="1:34" ht="18" customHeight="1" x14ac:dyDescent="0.3">
      <c r="A4" s="15">
        <v>1995</v>
      </c>
      <c r="B4" s="23" t="s">
        <v>570</v>
      </c>
      <c r="C4" s="14">
        <v>2007</v>
      </c>
      <c r="D4" s="18" t="str">
        <f>VLOOKUP(A4, '전체 목록(n=66)'!C:F, 4, FALSE)</f>
        <v>미국</v>
      </c>
      <c r="E4" s="2">
        <v>422</v>
      </c>
      <c r="F4" s="2" t="s">
        <v>521</v>
      </c>
      <c r="G4" s="2">
        <v>42</v>
      </c>
      <c r="H4" s="2" t="s">
        <v>522</v>
      </c>
      <c r="I4" s="2">
        <v>380</v>
      </c>
      <c r="J4" s="2" t="s">
        <v>39</v>
      </c>
      <c r="K4" s="2" t="s">
        <v>523</v>
      </c>
      <c r="P4" s="1">
        <v>68.900000000000006</v>
      </c>
      <c r="Q4" s="1">
        <v>61.9</v>
      </c>
      <c r="R4" s="16">
        <v>18</v>
      </c>
      <c r="S4" s="16">
        <v>94</v>
      </c>
      <c r="W4" s="1">
        <v>65.8</v>
      </c>
      <c r="X4" s="1" t="s">
        <v>149</v>
      </c>
      <c r="Z4" s="17">
        <f t="shared" ref="Z4:Z25" si="0">G4*P4/100</f>
        <v>28.938000000000002</v>
      </c>
      <c r="AA4" s="17">
        <f t="shared" ref="AA4:AA25" si="1">I4-AC4</f>
        <v>144.78</v>
      </c>
      <c r="AB4" s="17">
        <f t="shared" ref="AB4:AB25" si="2">G4-Z4</f>
        <v>13.061999999999998</v>
      </c>
      <c r="AC4" s="17">
        <f t="shared" ref="AC4:AC25" si="3">I4*Q4/100</f>
        <v>235.22</v>
      </c>
      <c r="AD4" s="24">
        <f>Z4/(Z4+AB4)</f>
        <v>0.68900000000000006</v>
      </c>
      <c r="AE4" s="24">
        <f>AC4/(AA4+AC4)</f>
        <v>0.61899999999999999</v>
      </c>
      <c r="AF4" s="24">
        <f>Z4/(Z4+AA4)</f>
        <v>0.16658031982868787</v>
      </c>
      <c r="AG4" s="24">
        <f>AC4/(AB4+AC4)</f>
        <v>0.94739046729122534</v>
      </c>
      <c r="AH4" s="24">
        <f>(Z4+AC4)/(Z4+AA4+AB4+AC4)</f>
        <v>0.62596682464454978</v>
      </c>
    </row>
    <row r="5" spans="1:34" ht="18" customHeight="1" x14ac:dyDescent="0.3">
      <c r="A5" s="15">
        <v>1995</v>
      </c>
      <c r="B5" s="23" t="s">
        <v>570</v>
      </c>
      <c r="C5" s="14">
        <v>2007</v>
      </c>
      <c r="D5" s="18" t="str">
        <f>VLOOKUP(A5, '전체 목록(n=66)'!C:F, 4, FALSE)</f>
        <v>미국</v>
      </c>
      <c r="E5" s="2">
        <v>422</v>
      </c>
      <c r="F5" s="2" t="s">
        <v>521</v>
      </c>
      <c r="G5" s="2">
        <v>42</v>
      </c>
      <c r="H5" s="2" t="s">
        <v>522</v>
      </c>
      <c r="I5" s="2">
        <v>380</v>
      </c>
      <c r="J5" s="2" t="s">
        <v>95</v>
      </c>
      <c r="K5" s="2" t="s">
        <v>523</v>
      </c>
      <c r="P5" s="16">
        <v>50</v>
      </c>
      <c r="Q5" s="1">
        <v>89.2</v>
      </c>
      <c r="R5" s="1">
        <v>33.4</v>
      </c>
      <c r="S5" s="1">
        <v>94.2</v>
      </c>
      <c r="W5" s="1">
        <v>71.900000000000006</v>
      </c>
      <c r="X5" s="1" t="s">
        <v>150</v>
      </c>
      <c r="Z5" s="17">
        <f t="shared" si="0"/>
        <v>21</v>
      </c>
      <c r="AA5" s="17">
        <f t="shared" si="1"/>
        <v>41.04000000000002</v>
      </c>
      <c r="AB5" s="17">
        <f t="shared" si="2"/>
        <v>21</v>
      </c>
      <c r="AC5" s="17">
        <f t="shared" si="3"/>
        <v>338.96</v>
      </c>
      <c r="AD5" s="24">
        <f>Z5/(Z5+AB5)</f>
        <v>0.5</v>
      </c>
      <c r="AE5" s="24">
        <f>AC5/(AA5+AC5)</f>
        <v>0.8919999999999999</v>
      </c>
      <c r="AF5" s="24">
        <f>Z5/(Z5+AA5)</f>
        <v>0.33849129593810434</v>
      </c>
      <c r="AG5" s="24">
        <f>AC5/(AB5+AC5)</f>
        <v>0.9416601844649406</v>
      </c>
      <c r="AH5" s="24">
        <f>(Z5+AC5)/(Z5+AA5+AB5+AC5)</f>
        <v>0.85298578199052133</v>
      </c>
    </row>
    <row r="6" spans="1:34" ht="18" customHeight="1" x14ac:dyDescent="0.3">
      <c r="A6" s="56">
        <v>3121</v>
      </c>
      <c r="B6" s="23" t="s">
        <v>585</v>
      </c>
      <c r="C6" s="14">
        <v>2000</v>
      </c>
      <c r="D6" s="18" t="str">
        <f>VLOOKUP(A6, '전체 목록(n=66)'!C:F, 4, FALSE)</f>
        <v>미국</v>
      </c>
      <c r="E6" s="6">
        <f t="shared" ref="E6:E19" si="4">G6+I6</f>
        <v>247</v>
      </c>
      <c r="F6" s="6" t="s">
        <v>195</v>
      </c>
      <c r="G6" s="6">
        <v>137</v>
      </c>
      <c r="H6" s="6" t="s">
        <v>194</v>
      </c>
      <c r="I6" s="6">
        <v>110</v>
      </c>
      <c r="J6" s="6" t="s">
        <v>39</v>
      </c>
      <c r="K6" s="6" t="s">
        <v>247</v>
      </c>
      <c r="L6" s="19"/>
      <c r="M6" s="19"/>
      <c r="N6" s="19"/>
      <c r="O6" s="19"/>
      <c r="P6" s="19">
        <v>33</v>
      </c>
      <c r="Q6" s="19">
        <v>84</v>
      </c>
      <c r="R6" s="19">
        <v>71</v>
      </c>
      <c r="S6" s="19">
        <v>50</v>
      </c>
      <c r="T6" s="19"/>
      <c r="U6" s="19"/>
      <c r="V6" s="19"/>
      <c r="W6" s="19"/>
      <c r="X6" s="19"/>
      <c r="Y6" s="19"/>
      <c r="Z6" s="58">
        <f t="shared" si="0"/>
        <v>45.21</v>
      </c>
      <c r="AA6" s="58">
        <f t="shared" si="1"/>
        <v>17.599999999999994</v>
      </c>
      <c r="AB6" s="58">
        <f t="shared" si="2"/>
        <v>91.789999999999992</v>
      </c>
      <c r="AC6" s="58">
        <f t="shared" si="3"/>
        <v>92.4</v>
      </c>
      <c r="AD6" s="59">
        <f t="shared" ref="AD6:AD25" si="5">Z6/(Z6+AB6)</f>
        <v>0.33</v>
      </c>
      <c r="AE6" s="59">
        <f t="shared" ref="AE6:AE25" si="6">AC6/(AA6+AC6)</f>
        <v>0.84000000000000008</v>
      </c>
      <c r="AF6" s="59">
        <f t="shared" ref="AF6:AF25" si="7">Z6/(Z6+AA6)</f>
        <v>0.71978984238178645</v>
      </c>
      <c r="AG6" s="59">
        <f t="shared" ref="AG6:AG25" si="8">AC6/(AB6+AC6)</f>
        <v>0.50165589880015204</v>
      </c>
      <c r="AH6" s="59">
        <f t="shared" ref="AH6:AH25" si="9">(Z6+AC6)/(Z6+AA6+AB6+AC6)</f>
        <v>0.55712550607287459</v>
      </c>
    </row>
    <row r="7" spans="1:34" ht="18" customHeight="1" x14ac:dyDescent="0.3">
      <c r="A7" s="56">
        <v>3121</v>
      </c>
      <c r="B7" s="23" t="s">
        <v>585</v>
      </c>
      <c r="C7" s="14">
        <v>2000</v>
      </c>
      <c r="D7" s="18" t="str">
        <f>VLOOKUP(A7, '전체 목록(n=66)'!C:F, 4, FALSE)</f>
        <v>미국</v>
      </c>
      <c r="E7" s="6">
        <f t="shared" si="4"/>
        <v>247</v>
      </c>
      <c r="F7" s="6" t="s">
        <v>195</v>
      </c>
      <c r="G7" s="6">
        <v>137</v>
      </c>
      <c r="H7" s="6" t="s">
        <v>194</v>
      </c>
      <c r="I7" s="6">
        <v>110</v>
      </c>
      <c r="J7" s="6" t="s">
        <v>174</v>
      </c>
      <c r="K7" s="6" t="s">
        <v>247</v>
      </c>
      <c r="L7" s="19"/>
      <c r="M7" s="19"/>
      <c r="N7" s="19"/>
      <c r="O7" s="19"/>
      <c r="P7" s="19">
        <v>34</v>
      </c>
      <c r="Q7" s="19">
        <v>91</v>
      </c>
      <c r="R7" s="19">
        <v>82</v>
      </c>
      <c r="S7" s="19">
        <v>52</v>
      </c>
      <c r="T7" s="19"/>
      <c r="U7" s="19"/>
      <c r="V7" s="19"/>
      <c r="W7" s="19"/>
      <c r="X7" s="19"/>
      <c r="Y7" s="19"/>
      <c r="Z7" s="58">
        <f t="shared" si="0"/>
        <v>46.58</v>
      </c>
      <c r="AA7" s="58">
        <f t="shared" si="1"/>
        <v>9.9000000000000057</v>
      </c>
      <c r="AB7" s="58">
        <f t="shared" si="2"/>
        <v>90.42</v>
      </c>
      <c r="AC7" s="58">
        <f t="shared" si="3"/>
        <v>100.1</v>
      </c>
      <c r="AD7" s="59">
        <f t="shared" si="5"/>
        <v>0.33999999999999997</v>
      </c>
      <c r="AE7" s="59">
        <f t="shared" si="6"/>
        <v>0.90999999999999992</v>
      </c>
      <c r="AF7" s="59">
        <f t="shared" si="7"/>
        <v>0.82471671388101975</v>
      </c>
      <c r="AG7" s="59">
        <f t="shared" si="8"/>
        <v>0.52540415704387988</v>
      </c>
      <c r="AH7" s="59">
        <f t="shared" si="9"/>
        <v>0.59384615384615391</v>
      </c>
    </row>
    <row r="8" spans="1:34" ht="18" customHeight="1" x14ac:dyDescent="0.3">
      <c r="A8" s="56">
        <v>3121</v>
      </c>
      <c r="B8" s="23" t="s">
        <v>585</v>
      </c>
      <c r="C8" s="14">
        <v>2000</v>
      </c>
      <c r="D8" s="18" t="str">
        <f>VLOOKUP(A8, '전체 목록(n=66)'!C:F, 4, FALSE)</f>
        <v>미국</v>
      </c>
      <c r="E8" s="6">
        <f t="shared" si="4"/>
        <v>247</v>
      </c>
      <c r="F8" s="6" t="s">
        <v>195</v>
      </c>
      <c r="G8" s="6">
        <v>137</v>
      </c>
      <c r="H8" s="6" t="s">
        <v>194</v>
      </c>
      <c r="I8" s="6">
        <v>110</v>
      </c>
      <c r="J8" s="6" t="s">
        <v>39</v>
      </c>
      <c r="K8" s="6" t="s">
        <v>246</v>
      </c>
      <c r="L8" s="19"/>
      <c r="M8" s="19"/>
      <c r="N8" s="19"/>
      <c r="O8" s="19"/>
      <c r="P8" s="19">
        <v>31</v>
      </c>
      <c r="Q8" s="19">
        <v>77</v>
      </c>
      <c r="R8" s="19">
        <v>34</v>
      </c>
      <c r="S8" s="19">
        <v>74</v>
      </c>
      <c r="T8" s="19"/>
      <c r="U8" s="19"/>
      <c r="V8" s="19"/>
      <c r="W8" s="19"/>
      <c r="X8" s="19"/>
      <c r="Y8" s="19"/>
      <c r="Z8" s="58">
        <f t="shared" si="0"/>
        <v>42.47</v>
      </c>
      <c r="AA8" s="58">
        <f t="shared" si="1"/>
        <v>25.299999999999997</v>
      </c>
      <c r="AB8" s="58">
        <f t="shared" si="2"/>
        <v>94.53</v>
      </c>
      <c r="AC8" s="58">
        <f t="shared" si="3"/>
        <v>84.7</v>
      </c>
      <c r="AD8" s="59">
        <f t="shared" si="5"/>
        <v>0.31</v>
      </c>
      <c r="AE8" s="59">
        <f t="shared" si="6"/>
        <v>0.77</v>
      </c>
      <c r="AF8" s="59">
        <f t="shared" si="7"/>
        <v>0.62667847129998522</v>
      </c>
      <c r="AG8" s="59">
        <f t="shared" si="8"/>
        <v>0.47257713552418679</v>
      </c>
      <c r="AH8" s="59">
        <f t="shared" si="9"/>
        <v>0.51485829959514173</v>
      </c>
    </row>
    <row r="9" spans="1:34" ht="18" customHeight="1" x14ac:dyDescent="0.3">
      <c r="A9" s="56">
        <v>3121</v>
      </c>
      <c r="B9" s="23" t="s">
        <v>585</v>
      </c>
      <c r="C9" s="14">
        <v>2000</v>
      </c>
      <c r="D9" s="18" t="str">
        <f>VLOOKUP(A9, '전체 목록(n=66)'!C:F, 4, FALSE)</f>
        <v>미국</v>
      </c>
      <c r="E9" s="6">
        <f t="shared" si="4"/>
        <v>247</v>
      </c>
      <c r="F9" s="6" t="s">
        <v>195</v>
      </c>
      <c r="G9" s="6">
        <v>137</v>
      </c>
      <c r="H9" s="6" t="s">
        <v>194</v>
      </c>
      <c r="I9" s="6">
        <v>110</v>
      </c>
      <c r="J9" s="6" t="s">
        <v>174</v>
      </c>
      <c r="K9" s="6" t="s">
        <v>246</v>
      </c>
      <c r="L9" s="19"/>
      <c r="M9" s="19"/>
      <c r="N9" s="19"/>
      <c r="O9" s="19"/>
      <c r="P9" s="19">
        <v>30</v>
      </c>
      <c r="Q9" s="19">
        <v>81</v>
      </c>
      <c r="R9" s="19">
        <v>39</v>
      </c>
      <c r="S9" s="19">
        <v>75</v>
      </c>
      <c r="T9" s="19"/>
      <c r="U9" s="19"/>
      <c r="V9" s="19"/>
      <c r="W9" s="19"/>
      <c r="X9" s="19"/>
      <c r="Y9" s="19"/>
      <c r="Z9" s="58">
        <f t="shared" si="0"/>
        <v>41.1</v>
      </c>
      <c r="AA9" s="58">
        <f t="shared" si="1"/>
        <v>20.900000000000006</v>
      </c>
      <c r="AB9" s="58">
        <f t="shared" si="2"/>
        <v>95.9</v>
      </c>
      <c r="AC9" s="58">
        <f t="shared" si="3"/>
        <v>89.1</v>
      </c>
      <c r="AD9" s="59">
        <f t="shared" si="5"/>
        <v>0.3</v>
      </c>
      <c r="AE9" s="59">
        <f t="shared" si="6"/>
        <v>0.80999999999999994</v>
      </c>
      <c r="AF9" s="59">
        <f t="shared" si="7"/>
        <v>0.66290322580645156</v>
      </c>
      <c r="AG9" s="59">
        <f t="shared" si="8"/>
        <v>0.48162162162162159</v>
      </c>
      <c r="AH9" s="59">
        <f t="shared" si="9"/>
        <v>0.52712550607287445</v>
      </c>
    </row>
    <row r="10" spans="1:34" ht="18" customHeight="1" x14ac:dyDescent="0.3">
      <c r="A10" s="56">
        <v>3121</v>
      </c>
      <c r="B10" s="23" t="s">
        <v>585</v>
      </c>
      <c r="C10" s="14">
        <v>2000</v>
      </c>
      <c r="D10" s="18" t="str">
        <f>VLOOKUP(A10, '전체 목록(n=66)'!C:F, 4, FALSE)</f>
        <v>미국</v>
      </c>
      <c r="E10" s="6">
        <f t="shared" si="4"/>
        <v>244</v>
      </c>
      <c r="F10" s="6" t="s">
        <v>195</v>
      </c>
      <c r="G10" s="6">
        <f>29+105</f>
        <v>134</v>
      </c>
      <c r="H10" s="6" t="s">
        <v>194</v>
      </c>
      <c r="I10" s="6">
        <v>110</v>
      </c>
      <c r="J10" s="6" t="s">
        <v>39</v>
      </c>
      <c r="K10" s="6" t="s">
        <v>245</v>
      </c>
      <c r="L10" s="19"/>
      <c r="M10" s="19"/>
      <c r="N10" s="19"/>
      <c r="O10" s="19"/>
      <c r="P10" s="19">
        <v>33</v>
      </c>
      <c r="Q10" s="19">
        <v>84</v>
      </c>
      <c r="R10" s="19">
        <v>73</v>
      </c>
      <c r="S10" s="19">
        <v>49</v>
      </c>
      <c r="T10" s="19"/>
      <c r="U10" s="19"/>
      <c r="V10" s="19"/>
      <c r="W10" s="19"/>
      <c r="X10" s="19"/>
      <c r="Y10" s="19"/>
      <c r="Z10" s="58">
        <f t="shared" si="0"/>
        <v>44.22</v>
      </c>
      <c r="AA10" s="58">
        <f t="shared" si="1"/>
        <v>17.599999999999994</v>
      </c>
      <c r="AB10" s="58">
        <f t="shared" si="2"/>
        <v>89.78</v>
      </c>
      <c r="AC10" s="58">
        <f t="shared" si="3"/>
        <v>92.4</v>
      </c>
      <c r="AD10" s="59">
        <f t="shared" si="5"/>
        <v>0.33</v>
      </c>
      <c r="AE10" s="59">
        <f t="shared" si="6"/>
        <v>0.84000000000000008</v>
      </c>
      <c r="AF10" s="59">
        <f t="shared" si="7"/>
        <v>0.71530249110320288</v>
      </c>
      <c r="AG10" s="59">
        <f t="shared" si="8"/>
        <v>0.50719069052585353</v>
      </c>
      <c r="AH10" s="59">
        <f t="shared" si="9"/>
        <v>0.55991803278688523</v>
      </c>
    </row>
    <row r="11" spans="1:34" ht="18" customHeight="1" x14ac:dyDescent="0.3">
      <c r="A11" s="56">
        <v>3121</v>
      </c>
      <c r="B11" s="23" t="s">
        <v>585</v>
      </c>
      <c r="C11" s="14">
        <v>2000</v>
      </c>
      <c r="D11" s="18" t="str">
        <f>VLOOKUP(A11, '전체 목록(n=66)'!C:F, 4, FALSE)</f>
        <v>미국</v>
      </c>
      <c r="E11" s="6">
        <f t="shared" si="4"/>
        <v>244</v>
      </c>
      <c r="F11" s="6" t="s">
        <v>195</v>
      </c>
      <c r="G11" s="6">
        <f>29+105</f>
        <v>134</v>
      </c>
      <c r="H11" s="6" t="s">
        <v>194</v>
      </c>
      <c r="I11" s="6">
        <v>110</v>
      </c>
      <c r="J11" s="6" t="s">
        <v>174</v>
      </c>
      <c r="K11" s="6" t="s">
        <v>245</v>
      </c>
      <c r="L11" s="19"/>
      <c r="M11" s="19"/>
      <c r="N11" s="19"/>
      <c r="O11" s="19"/>
      <c r="P11" s="19">
        <v>32</v>
      </c>
      <c r="Q11" s="19">
        <v>91</v>
      </c>
      <c r="R11" s="19">
        <v>82</v>
      </c>
      <c r="S11" s="19">
        <v>51</v>
      </c>
      <c r="T11" s="19"/>
      <c r="U11" s="19"/>
      <c r="V11" s="19"/>
      <c r="W11" s="19"/>
      <c r="X11" s="19"/>
      <c r="Y11" s="19"/>
      <c r="Z11" s="58">
        <f t="shared" si="0"/>
        <v>42.88</v>
      </c>
      <c r="AA11" s="58">
        <f t="shared" si="1"/>
        <v>9.9000000000000057</v>
      </c>
      <c r="AB11" s="58">
        <f t="shared" si="2"/>
        <v>91.12</v>
      </c>
      <c r="AC11" s="58">
        <f t="shared" si="3"/>
        <v>100.1</v>
      </c>
      <c r="AD11" s="59">
        <f t="shared" si="5"/>
        <v>0.32</v>
      </c>
      <c r="AE11" s="59">
        <f t="shared" si="6"/>
        <v>0.90999999999999992</v>
      </c>
      <c r="AF11" s="59">
        <f t="shared" si="7"/>
        <v>0.81242895035998475</v>
      </c>
      <c r="AG11" s="59">
        <f t="shared" si="8"/>
        <v>0.52348080744691972</v>
      </c>
      <c r="AH11" s="59">
        <f t="shared" si="9"/>
        <v>0.58598360655737702</v>
      </c>
    </row>
    <row r="12" spans="1:34" ht="18" customHeight="1" x14ac:dyDescent="0.3">
      <c r="A12" s="56">
        <v>3443</v>
      </c>
      <c r="B12" s="23" t="s">
        <v>592</v>
      </c>
      <c r="C12" s="14">
        <v>1998</v>
      </c>
      <c r="D12" s="18" t="str">
        <f>VLOOKUP(A12, '전체 목록(n=66)'!C:F, 4, FALSE)</f>
        <v>캐나다</v>
      </c>
      <c r="E12" s="6">
        <f t="shared" si="4"/>
        <v>105</v>
      </c>
      <c r="F12" s="6" t="s">
        <v>275</v>
      </c>
      <c r="G12" s="6">
        <v>59</v>
      </c>
      <c r="H12" s="6" t="s">
        <v>276</v>
      </c>
      <c r="I12" s="6">
        <v>46</v>
      </c>
      <c r="J12" s="6" t="s">
        <v>39</v>
      </c>
      <c r="K12" s="6" t="s">
        <v>288</v>
      </c>
      <c r="L12" s="19"/>
      <c r="M12" s="19"/>
      <c r="N12" s="19"/>
      <c r="O12" s="19"/>
      <c r="P12" s="19">
        <v>42</v>
      </c>
      <c r="Q12" s="19">
        <v>89</v>
      </c>
      <c r="R12" s="19">
        <v>79</v>
      </c>
      <c r="S12" s="19">
        <v>62</v>
      </c>
      <c r="T12" s="19"/>
      <c r="U12" s="19"/>
      <c r="V12" s="19"/>
      <c r="W12" s="19"/>
      <c r="X12" s="19"/>
      <c r="Y12" s="19"/>
      <c r="Z12" s="58">
        <f t="shared" si="0"/>
        <v>24.78</v>
      </c>
      <c r="AA12" s="58">
        <f t="shared" si="1"/>
        <v>5.0600000000000023</v>
      </c>
      <c r="AB12" s="58">
        <f t="shared" si="2"/>
        <v>34.22</v>
      </c>
      <c r="AC12" s="58">
        <f t="shared" si="3"/>
        <v>40.94</v>
      </c>
      <c r="AD12" s="59">
        <f t="shared" si="5"/>
        <v>0.42000000000000004</v>
      </c>
      <c r="AE12" s="59">
        <f t="shared" si="6"/>
        <v>0.8899999999999999</v>
      </c>
      <c r="AF12" s="70">
        <f t="shared" si="7"/>
        <v>0.83042895442359244</v>
      </c>
      <c r="AG12" s="70">
        <f t="shared" si="8"/>
        <v>0.54470463012240555</v>
      </c>
      <c r="AH12" s="59">
        <f t="shared" si="9"/>
        <v>0.62590476190476185</v>
      </c>
    </row>
    <row r="13" spans="1:34" ht="18" customHeight="1" x14ac:dyDescent="0.3">
      <c r="A13" s="56">
        <v>3443</v>
      </c>
      <c r="B13" s="23" t="s">
        <v>592</v>
      </c>
      <c r="C13" s="14">
        <v>1998</v>
      </c>
      <c r="D13" s="18" t="str">
        <f>VLOOKUP(A13, '전체 목록(n=66)'!C:F, 4, FALSE)</f>
        <v>캐나다</v>
      </c>
      <c r="E13" s="6">
        <f t="shared" si="4"/>
        <v>105</v>
      </c>
      <c r="F13" s="6" t="s">
        <v>275</v>
      </c>
      <c r="G13" s="6">
        <v>59</v>
      </c>
      <c r="H13" s="6" t="s">
        <v>276</v>
      </c>
      <c r="I13" s="6">
        <v>46</v>
      </c>
      <c r="J13" s="6" t="s">
        <v>121</v>
      </c>
      <c r="K13" s="6" t="s">
        <v>288</v>
      </c>
      <c r="L13" s="19"/>
      <c r="M13" s="19"/>
      <c r="N13" s="19"/>
      <c r="O13" s="19"/>
      <c r="P13" s="19">
        <v>70</v>
      </c>
      <c r="Q13" s="19">
        <v>65</v>
      </c>
      <c r="R13" s="19">
        <v>67</v>
      </c>
      <c r="S13" s="19">
        <v>69</v>
      </c>
      <c r="T13" s="19"/>
      <c r="U13" s="19"/>
      <c r="V13" s="19"/>
      <c r="W13" s="19"/>
      <c r="X13" s="19"/>
      <c r="Y13" s="19"/>
      <c r="Z13" s="58">
        <f t="shared" si="0"/>
        <v>41.3</v>
      </c>
      <c r="AA13" s="58">
        <f t="shared" si="1"/>
        <v>16.100000000000001</v>
      </c>
      <c r="AB13" s="58">
        <f t="shared" si="2"/>
        <v>17.700000000000003</v>
      </c>
      <c r="AC13" s="58">
        <f t="shared" si="3"/>
        <v>29.9</v>
      </c>
      <c r="AD13" s="59">
        <f t="shared" si="5"/>
        <v>0.7</v>
      </c>
      <c r="AE13" s="59">
        <f t="shared" si="6"/>
        <v>0.65</v>
      </c>
      <c r="AF13" s="70">
        <f t="shared" si="7"/>
        <v>0.71951219512195119</v>
      </c>
      <c r="AG13" s="70">
        <f t="shared" si="8"/>
        <v>0.62815126050420167</v>
      </c>
      <c r="AH13" s="59">
        <f t="shared" si="9"/>
        <v>0.67809523809523797</v>
      </c>
    </row>
    <row r="14" spans="1:34" ht="18" customHeight="1" x14ac:dyDescent="0.3">
      <c r="A14" s="56">
        <v>3443</v>
      </c>
      <c r="B14" s="23" t="s">
        <v>592</v>
      </c>
      <c r="C14" s="14">
        <v>1998</v>
      </c>
      <c r="D14" s="18" t="str">
        <f>VLOOKUP(A14, '전체 목록(n=66)'!C:F, 4, FALSE)</f>
        <v>캐나다</v>
      </c>
      <c r="E14" s="6">
        <f t="shared" si="4"/>
        <v>105</v>
      </c>
      <c r="F14" s="6" t="s">
        <v>275</v>
      </c>
      <c r="G14" s="6">
        <v>59</v>
      </c>
      <c r="H14" s="6" t="s">
        <v>276</v>
      </c>
      <c r="I14" s="6">
        <v>46</v>
      </c>
      <c r="J14" s="6" t="s">
        <v>39</v>
      </c>
      <c r="K14" s="6" t="s">
        <v>289</v>
      </c>
      <c r="L14" s="19"/>
      <c r="M14" s="19"/>
      <c r="N14" s="19"/>
      <c r="O14" s="19"/>
      <c r="P14" s="19">
        <v>92</v>
      </c>
      <c r="Q14" s="19">
        <v>59</v>
      </c>
      <c r="R14" s="19">
        <v>69</v>
      </c>
      <c r="S14" s="19">
        <v>89</v>
      </c>
      <c r="T14" s="19"/>
      <c r="U14" s="19"/>
      <c r="V14" s="19"/>
      <c r="W14" s="19"/>
      <c r="X14" s="19"/>
      <c r="Y14" s="19"/>
      <c r="Z14" s="58">
        <f t="shared" si="0"/>
        <v>54.28</v>
      </c>
      <c r="AA14" s="58">
        <f t="shared" si="1"/>
        <v>18.86</v>
      </c>
      <c r="AB14" s="58">
        <f t="shared" si="2"/>
        <v>4.7199999999999989</v>
      </c>
      <c r="AC14" s="58">
        <f t="shared" si="3"/>
        <v>27.14</v>
      </c>
      <c r="AD14" s="59">
        <f t="shared" si="5"/>
        <v>0.92</v>
      </c>
      <c r="AE14" s="59">
        <f t="shared" si="6"/>
        <v>0.59</v>
      </c>
      <c r="AF14" s="89">
        <f t="shared" si="7"/>
        <v>0.74213836477987427</v>
      </c>
      <c r="AG14" s="89">
        <f t="shared" si="8"/>
        <v>0.85185185185185186</v>
      </c>
      <c r="AH14" s="59">
        <f t="shared" si="9"/>
        <v>0.77542857142857147</v>
      </c>
    </row>
    <row r="15" spans="1:34" ht="18" customHeight="1" x14ac:dyDescent="0.3">
      <c r="A15" s="56">
        <v>3443</v>
      </c>
      <c r="B15" s="23" t="s">
        <v>592</v>
      </c>
      <c r="C15" s="14">
        <v>1998</v>
      </c>
      <c r="D15" s="18" t="str">
        <f>VLOOKUP(A15, '전체 목록(n=66)'!C:F, 4, FALSE)</f>
        <v>캐나다</v>
      </c>
      <c r="E15" s="6">
        <f t="shared" si="4"/>
        <v>105</v>
      </c>
      <c r="F15" s="6" t="s">
        <v>275</v>
      </c>
      <c r="G15" s="6">
        <v>59</v>
      </c>
      <c r="H15" s="6" t="s">
        <v>276</v>
      </c>
      <c r="I15" s="6">
        <v>46</v>
      </c>
      <c r="J15" s="6" t="s">
        <v>121</v>
      </c>
      <c r="K15" s="6" t="s">
        <v>289</v>
      </c>
      <c r="L15" s="19"/>
      <c r="M15" s="19"/>
      <c r="N15" s="19"/>
      <c r="O15" s="19"/>
      <c r="P15" s="19">
        <v>97</v>
      </c>
      <c r="Q15" s="19">
        <v>43</v>
      </c>
      <c r="R15" s="19">
        <v>63</v>
      </c>
      <c r="S15" s="19">
        <v>94</v>
      </c>
      <c r="T15" s="19"/>
      <c r="U15" s="19"/>
      <c r="V15" s="19"/>
      <c r="W15" s="19"/>
      <c r="X15" s="19"/>
      <c r="Y15" s="19"/>
      <c r="Z15" s="58">
        <f t="shared" si="0"/>
        <v>57.23</v>
      </c>
      <c r="AA15" s="58">
        <f t="shared" si="1"/>
        <v>26.22</v>
      </c>
      <c r="AB15" s="58">
        <f t="shared" si="2"/>
        <v>1.7700000000000031</v>
      </c>
      <c r="AC15" s="58">
        <f t="shared" si="3"/>
        <v>19.78</v>
      </c>
      <c r="AD15" s="59">
        <f t="shared" si="5"/>
        <v>0.97</v>
      </c>
      <c r="AE15" s="59">
        <f t="shared" si="6"/>
        <v>0.43000000000000005</v>
      </c>
      <c r="AF15" s="89">
        <f t="shared" si="7"/>
        <v>0.68579988016776516</v>
      </c>
      <c r="AG15" s="89">
        <f t="shared" si="8"/>
        <v>0.91786542923433867</v>
      </c>
      <c r="AH15" s="59">
        <f t="shared" si="9"/>
        <v>0.73342857142857132</v>
      </c>
    </row>
    <row r="16" spans="1:34" ht="18" customHeight="1" x14ac:dyDescent="0.3">
      <c r="A16" s="56">
        <v>3443</v>
      </c>
      <c r="B16" s="23" t="s">
        <v>592</v>
      </c>
      <c r="C16" s="14">
        <v>1998</v>
      </c>
      <c r="D16" s="18" t="str">
        <f>VLOOKUP(A16, '전체 목록(n=66)'!C:F, 4, FALSE)</f>
        <v>캐나다</v>
      </c>
      <c r="E16" s="6">
        <f t="shared" si="4"/>
        <v>105</v>
      </c>
      <c r="F16" s="6" t="s">
        <v>275</v>
      </c>
      <c r="G16" s="6">
        <v>59</v>
      </c>
      <c r="H16" s="6" t="s">
        <v>276</v>
      </c>
      <c r="I16" s="6">
        <v>46</v>
      </c>
      <c r="J16" s="6" t="s">
        <v>39</v>
      </c>
      <c r="K16" s="6" t="s">
        <v>290</v>
      </c>
      <c r="L16" s="19"/>
      <c r="M16" s="19"/>
      <c r="N16" s="19"/>
      <c r="O16" s="19"/>
      <c r="P16" s="19">
        <v>84</v>
      </c>
      <c r="Q16" s="19">
        <v>73</v>
      </c>
      <c r="R16" s="19">
        <v>73</v>
      </c>
      <c r="S16" s="19">
        <v>84</v>
      </c>
      <c r="T16" s="19"/>
      <c r="U16" s="19"/>
      <c r="V16" s="19"/>
      <c r="W16" s="19"/>
      <c r="X16" s="19"/>
      <c r="Y16" s="19"/>
      <c r="Z16" s="58">
        <f t="shared" si="0"/>
        <v>49.56</v>
      </c>
      <c r="AA16" s="58">
        <f t="shared" si="1"/>
        <v>12.420000000000002</v>
      </c>
      <c r="AB16" s="58">
        <f t="shared" si="2"/>
        <v>9.4399999999999977</v>
      </c>
      <c r="AC16" s="58">
        <f t="shared" si="3"/>
        <v>33.58</v>
      </c>
      <c r="AD16" s="59">
        <f t="shared" si="5"/>
        <v>0.84000000000000008</v>
      </c>
      <c r="AE16" s="59">
        <f t="shared" si="6"/>
        <v>0.73</v>
      </c>
      <c r="AF16" s="89">
        <f t="shared" si="7"/>
        <v>0.79961277831558564</v>
      </c>
      <c r="AG16" s="89">
        <f t="shared" si="8"/>
        <v>0.78056717805671783</v>
      </c>
      <c r="AH16" s="59">
        <f t="shared" si="9"/>
        <v>0.79180952380952385</v>
      </c>
    </row>
    <row r="17" spans="1:34" ht="18" customHeight="1" x14ac:dyDescent="0.3">
      <c r="A17" s="56">
        <v>3443</v>
      </c>
      <c r="B17" s="23" t="s">
        <v>592</v>
      </c>
      <c r="C17" s="14">
        <v>1998</v>
      </c>
      <c r="D17" s="18" t="str">
        <f>VLOOKUP(A17, '전체 목록(n=66)'!C:F, 4, FALSE)</f>
        <v>캐나다</v>
      </c>
      <c r="E17" s="6">
        <f t="shared" si="4"/>
        <v>105</v>
      </c>
      <c r="F17" s="6" t="s">
        <v>275</v>
      </c>
      <c r="G17" s="6">
        <v>59</v>
      </c>
      <c r="H17" s="6" t="s">
        <v>276</v>
      </c>
      <c r="I17" s="6">
        <v>46</v>
      </c>
      <c r="J17" s="6" t="s">
        <v>121</v>
      </c>
      <c r="K17" s="6" t="s">
        <v>290</v>
      </c>
      <c r="L17" s="19"/>
      <c r="M17" s="19"/>
      <c r="N17" s="19"/>
      <c r="O17" s="19"/>
      <c r="P17" s="19">
        <v>82</v>
      </c>
      <c r="Q17" s="19">
        <v>67</v>
      </c>
      <c r="R17" s="19">
        <v>68</v>
      </c>
      <c r="S17" s="19">
        <v>88</v>
      </c>
      <c r="T17" s="19"/>
      <c r="U17" s="19"/>
      <c r="V17" s="19"/>
      <c r="W17" s="19"/>
      <c r="X17" s="19"/>
      <c r="Y17" s="19"/>
      <c r="Z17" s="58">
        <f t="shared" si="0"/>
        <v>48.38</v>
      </c>
      <c r="AA17" s="58">
        <f t="shared" si="1"/>
        <v>15.18</v>
      </c>
      <c r="AB17" s="58">
        <f t="shared" si="2"/>
        <v>10.619999999999997</v>
      </c>
      <c r="AC17" s="58">
        <f t="shared" si="3"/>
        <v>30.82</v>
      </c>
      <c r="AD17" s="59">
        <f t="shared" si="5"/>
        <v>0.82000000000000006</v>
      </c>
      <c r="AE17" s="59">
        <f t="shared" si="6"/>
        <v>0.67</v>
      </c>
      <c r="AF17" s="89">
        <f t="shared" si="7"/>
        <v>0.76117054751415991</v>
      </c>
      <c r="AG17" s="89">
        <f t="shared" si="8"/>
        <v>0.74372586872586877</v>
      </c>
      <c r="AH17" s="59">
        <f t="shared" si="9"/>
        <v>0.75428571428571434</v>
      </c>
    </row>
    <row r="18" spans="1:34" ht="18" customHeight="1" x14ac:dyDescent="0.3">
      <c r="A18" s="56">
        <v>3443</v>
      </c>
      <c r="B18" s="23" t="s">
        <v>592</v>
      </c>
      <c r="C18" s="14">
        <v>1998</v>
      </c>
      <c r="D18" s="18" t="str">
        <f>VLOOKUP(A18, '전체 목록(n=66)'!C:F, 4, FALSE)</f>
        <v>캐나다</v>
      </c>
      <c r="E18" s="6">
        <f t="shared" si="4"/>
        <v>105</v>
      </c>
      <c r="F18" s="6" t="s">
        <v>275</v>
      </c>
      <c r="G18" s="6">
        <v>59</v>
      </c>
      <c r="H18" s="6" t="s">
        <v>276</v>
      </c>
      <c r="I18" s="6">
        <v>46</v>
      </c>
      <c r="J18" s="6" t="s">
        <v>39</v>
      </c>
      <c r="K18" s="6" t="s">
        <v>291</v>
      </c>
      <c r="L18" s="19"/>
      <c r="M18" s="19"/>
      <c r="N18" s="19"/>
      <c r="O18" s="19"/>
      <c r="P18" s="19">
        <v>88</v>
      </c>
      <c r="Q18" s="19">
        <v>65</v>
      </c>
      <c r="R18" s="19">
        <v>69</v>
      </c>
      <c r="S18" s="19">
        <v>86</v>
      </c>
      <c r="T18" s="19"/>
      <c r="U18" s="19"/>
      <c r="V18" s="19"/>
      <c r="W18" s="19"/>
      <c r="X18" s="19"/>
      <c r="Y18" s="19"/>
      <c r="Z18" s="58">
        <f t="shared" si="0"/>
        <v>51.92</v>
      </c>
      <c r="AA18" s="58">
        <f t="shared" si="1"/>
        <v>16.100000000000001</v>
      </c>
      <c r="AB18" s="58">
        <f t="shared" si="2"/>
        <v>7.0799999999999983</v>
      </c>
      <c r="AC18" s="58">
        <f t="shared" si="3"/>
        <v>29.9</v>
      </c>
      <c r="AD18" s="59">
        <f t="shared" si="5"/>
        <v>0.88</v>
      </c>
      <c r="AE18" s="59">
        <f t="shared" si="6"/>
        <v>0.65</v>
      </c>
      <c r="AF18" s="89">
        <f t="shared" si="7"/>
        <v>0.76330491032049386</v>
      </c>
      <c r="AG18" s="89">
        <f t="shared" si="8"/>
        <v>0.80854515954570039</v>
      </c>
      <c r="AH18" s="59">
        <f t="shared" si="9"/>
        <v>0.77923809523809517</v>
      </c>
    </row>
    <row r="19" spans="1:34" ht="18" customHeight="1" x14ac:dyDescent="0.3">
      <c r="A19" s="56">
        <v>3443</v>
      </c>
      <c r="B19" s="23" t="s">
        <v>592</v>
      </c>
      <c r="C19" s="14">
        <v>1998</v>
      </c>
      <c r="D19" s="18" t="str">
        <f>VLOOKUP(A19, '전체 목록(n=66)'!C:F, 4, FALSE)</f>
        <v>캐나다</v>
      </c>
      <c r="E19" s="6">
        <f t="shared" si="4"/>
        <v>105</v>
      </c>
      <c r="F19" s="6" t="s">
        <v>275</v>
      </c>
      <c r="G19" s="6">
        <v>59</v>
      </c>
      <c r="H19" s="6" t="s">
        <v>276</v>
      </c>
      <c r="I19" s="6">
        <v>46</v>
      </c>
      <c r="J19" s="6" t="s">
        <v>121</v>
      </c>
      <c r="K19" s="6" t="s">
        <v>291</v>
      </c>
      <c r="L19" s="19"/>
      <c r="M19" s="19"/>
      <c r="N19" s="19"/>
      <c r="O19" s="19"/>
      <c r="P19" s="19">
        <v>95</v>
      </c>
      <c r="Q19" s="19">
        <v>58</v>
      </c>
      <c r="R19" s="19">
        <v>65</v>
      </c>
      <c r="S19" s="19">
        <v>94</v>
      </c>
      <c r="T19" s="19"/>
      <c r="U19" s="19"/>
      <c r="V19" s="19"/>
      <c r="W19" s="19"/>
      <c r="X19" s="19"/>
      <c r="Y19" s="19"/>
      <c r="Z19" s="58">
        <f t="shared" si="0"/>
        <v>56.05</v>
      </c>
      <c r="AA19" s="58">
        <f t="shared" si="1"/>
        <v>19.32</v>
      </c>
      <c r="AB19" s="58">
        <f t="shared" si="2"/>
        <v>2.9500000000000028</v>
      </c>
      <c r="AC19" s="58">
        <f t="shared" si="3"/>
        <v>26.68</v>
      </c>
      <c r="AD19" s="59">
        <f t="shared" si="5"/>
        <v>0.95</v>
      </c>
      <c r="AE19" s="59">
        <f t="shared" si="6"/>
        <v>0.57999999999999996</v>
      </c>
      <c r="AF19" s="89">
        <f t="shared" si="7"/>
        <v>0.74366458803237356</v>
      </c>
      <c r="AG19" s="89">
        <f t="shared" si="8"/>
        <v>0.9004387445156935</v>
      </c>
      <c r="AH19" s="59">
        <f t="shared" si="9"/>
        <v>0.78790476190476177</v>
      </c>
    </row>
    <row r="20" spans="1:34" ht="18" customHeight="1" x14ac:dyDescent="0.3">
      <c r="A20" s="56">
        <v>3648</v>
      </c>
      <c r="B20" s="23" t="s">
        <v>576</v>
      </c>
      <c r="C20" s="14">
        <v>1996</v>
      </c>
      <c r="D20" s="18" t="str">
        <f>VLOOKUP(A20, '전체 목록(n=66)'!C:F, 4, FALSE)</f>
        <v>일본</v>
      </c>
      <c r="E20" s="6">
        <v>35</v>
      </c>
      <c r="F20" s="6" t="s">
        <v>97</v>
      </c>
      <c r="G20" s="6">
        <v>5</v>
      </c>
      <c r="H20" s="6" t="s">
        <v>98</v>
      </c>
      <c r="I20" s="6">
        <v>30</v>
      </c>
      <c r="J20" s="6" t="s">
        <v>39</v>
      </c>
      <c r="K20" s="6" t="s">
        <v>517</v>
      </c>
      <c r="L20" s="19"/>
      <c r="M20" s="19"/>
      <c r="N20" s="19"/>
      <c r="O20" s="19"/>
      <c r="P20" s="19">
        <v>80</v>
      </c>
      <c r="Q20" s="19">
        <v>53.8</v>
      </c>
      <c r="R20" s="19">
        <v>57.1</v>
      </c>
      <c r="S20" s="19">
        <v>77.8</v>
      </c>
      <c r="T20" s="19"/>
      <c r="U20" s="19"/>
      <c r="V20" s="19"/>
      <c r="W20" s="19"/>
      <c r="X20" s="19"/>
      <c r="Y20" s="19"/>
      <c r="Z20" s="58">
        <f t="shared" si="0"/>
        <v>4</v>
      </c>
      <c r="AA20" s="58">
        <f t="shared" si="1"/>
        <v>13.86</v>
      </c>
      <c r="AB20" s="58">
        <f t="shared" si="2"/>
        <v>1</v>
      </c>
      <c r="AC20" s="58">
        <f t="shared" si="3"/>
        <v>16.14</v>
      </c>
      <c r="AD20" s="59">
        <f t="shared" si="5"/>
        <v>0.8</v>
      </c>
      <c r="AE20" s="59">
        <f t="shared" si="6"/>
        <v>0.53800000000000003</v>
      </c>
      <c r="AF20" s="59">
        <f t="shared" si="7"/>
        <v>0.22396416573348266</v>
      </c>
      <c r="AG20" s="59">
        <f t="shared" si="8"/>
        <v>0.94165694282380397</v>
      </c>
      <c r="AH20" s="59">
        <f t="shared" si="9"/>
        <v>0.5754285714285714</v>
      </c>
    </row>
    <row r="21" spans="1:34" ht="18" customHeight="1" x14ac:dyDescent="0.3">
      <c r="A21" s="56">
        <v>3648</v>
      </c>
      <c r="B21" s="23" t="s">
        <v>576</v>
      </c>
      <c r="C21" s="14">
        <v>1996</v>
      </c>
      <c r="D21" s="18" t="str">
        <f>VLOOKUP(A21, '전체 목록(n=66)'!C:F, 4, FALSE)</f>
        <v>일본</v>
      </c>
      <c r="E21" s="6">
        <v>35</v>
      </c>
      <c r="F21" s="6" t="s">
        <v>97</v>
      </c>
      <c r="G21" s="6">
        <v>5</v>
      </c>
      <c r="H21" s="6" t="s">
        <v>98</v>
      </c>
      <c r="I21" s="6">
        <v>30</v>
      </c>
      <c r="J21" s="6" t="s">
        <v>121</v>
      </c>
      <c r="K21" s="6" t="s">
        <v>517</v>
      </c>
      <c r="L21" s="19"/>
      <c r="M21" s="19"/>
      <c r="N21" s="19"/>
      <c r="O21" s="19"/>
      <c r="P21" s="19">
        <v>92.3</v>
      </c>
      <c r="Q21" s="19">
        <v>50</v>
      </c>
      <c r="R21" s="19">
        <v>52.2</v>
      </c>
      <c r="S21" s="19">
        <v>91.6</v>
      </c>
      <c r="T21" s="19"/>
      <c r="U21" s="19"/>
      <c r="V21" s="19"/>
      <c r="W21" s="19"/>
      <c r="X21" s="19"/>
      <c r="Y21" s="19"/>
      <c r="Z21" s="58">
        <f t="shared" si="0"/>
        <v>4.6150000000000002</v>
      </c>
      <c r="AA21" s="58">
        <f t="shared" si="1"/>
        <v>15</v>
      </c>
      <c r="AB21" s="58">
        <f t="shared" si="2"/>
        <v>0.38499999999999979</v>
      </c>
      <c r="AC21" s="58">
        <f t="shared" si="3"/>
        <v>15</v>
      </c>
      <c r="AD21" s="59">
        <f t="shared" si="5"/>
        <v>0.92300000000000004</v>
      </c>
      <c r="AE21" s="59">
        <f t="shared" si="6"/>
        <v>0.5</v>
      </c>
      <c r="AF21" s="59">
        <f t="shared" si="7"/>
        <v>0.23527912312006116</v>
      </c>
      <c r="AG21" s="59">
        <f t="shared" si="8"/>
        <v>0.9749756256093598</v>
      </c>
      <c r="AH21" s="59">
        <f t="shared" si="9"/>
        <v>0.5604285714285715</v>
      </c>
    </row>
    <row r="22" spans="1:34" ht="18" customHeight="1" x14ac:dyDescent="0.3">
      <c r="A22" s="56">
        <v>3798</v>
      </c>
      <c r="B22" s="23" t="s">
        <v>607</v>
      </c>
      <c r="C22" s="14">
        <v>1995</v>
      </c>
      <c r="D22" s="18" t="str">
        <f>VLOOKUP(A22, '전체 목록(n=66)'!C:F, 4, FALSE)</f>
        <v>프랑스</v>
      </c>
      <c r="E22" s="6">
        <f>G22+I22</f>
        <v>97</v>
      </c>
      <c r="F22" s="6" t="s">
        <v>498</v>
      </c>
      <c r="G22" s="6">
        <v>45</v>
      </c>
      <c r="H22" s="6" t="s">
        <v>499</v>
      </c>
      <c r="I22" s="6">
        <v>52</v>
      </c>
      <c r="J22" s="6" t="s">
        <v>39</v>
      </c>
      <c r="K22" s="6" t="s">
        <v>119</v>
      </c>
      <c r="L22" s="19"/>
      <c r="M22" s="19"/>
      <c r="N22" s="19"/>
      <c r="O22" s="19"/>
      <c r="P22" s="19">
        <v>57</v>
      </c>
      <c r="Q22" s="19">
        <v>62</v>
      </c>
      <c r="R22" s="19">
        <v>56</v>
      </c>
      <c r="S22" s="19">
        <v>63</v>
      </c>
      <c r="T22" s="19"/>
      <c r="U22" s="19"/>
      <c r="V22" s="19"/>
      <c r="W22" s="19"/>
      <c r="X22" s="19"/>
      <c r="Y22" s="19"/>
      <c r="Z22" s="58">
        <f t="shared" si="0"/>
        <v>25.65</v>
      </c>
      <c r="AA22" s="58">
        <f t="shared" si="1"/>
        <v>19.759999999999998</v>
      </c>
      <c r="AB22" s="58">
        <f t="shared" si="2"/>
        <v>19.350000000000001</v>
      </c>
      <c r="AC22" s="58">
        <f t="shared" si="3"/>
        <v>32.24</v>
      </c>
      <c r="AD22" s="59">
        <f t="shared" si="5"/>
        <v>0.56999999999999995</v>
      </c>
      <c r="AE22" s="59">
        <f t="shared" si="6"/>
        <v>0.62</v>
      </c>
      <c r="AF22" s="59">
        <f t="shared" si="7"/>
        <v>0.56485355648535562</v>
      </c>
      <c r="AG22" s="59">
        <f t="shared" si="8"/>
        <v>0.62492731149447567</v>
      </c>
      <c r="AH22" s="59">
        <f t="shared" si="9"/>
        <v>0.59680412371134017</v>
      </c>
    </row>
    <row r="23" spans="1:34" ht="18" customHeight="1" x14ac:dyDescent="0.3">
      <c r="A23" s="56">
        <v>3798</v>
      </c>
      <c r="B23" s="23" t="s">
        <v>607</v>
      </c>
      <c r="C23" s="14">
        <v>1995</v>
      </c>
      <c r="D23" s="18" t="str">
        <f>VLOOKUP(A23, '전체 목록(n=66)'!C:F, 4, FALSE)</f>
        <v>프랑스</v>
      </c>
      <c r="E23" s="6">
        <f>G23+I23</f>
        <v>97</v>
      </c>
      <c r="F23" s="6" t="s">
        <v>498</v>
      </c>
      <c r="G23" s="6">
        <v>45</v>
      </c>
      <c r="H23" s="6" t="s">
        <v>499</v>
      </c>
      <c r="I23" s="6">
        <v>52</v>
      </c>
      <c r="J23" s="6" t="s">
        <v>121</v>
      </c>
      <c r="K23" s="6" t="s">
        <v>119</v>
      </c>
      <c r="L23" s="19"/>
      <c r="M23" s="19"/>
      <c r="N23" s="19"/>
      <c r="O23" s="19"/>
      <c r="P23" s="19">
        <v>51</v>
      </c>
      <c r="Q23" s="19">
        <v>62</v>
      </c>
      <c r="R23" s="19">
        <v>54</v>
      </c>
      <c r="S23" s="19">
        <v>60</v>
      </c>
      <c r="T23" s="19"/>
      <c r="U23" s="19"/>
      <c r="V23" s="19"/>
      <c r="W23" s="19"/>
      <c r="X23" s="19"/>
      <c r="Y23" s="19"/>
      <c r="Z23" s="58">
        <f t="shared" si="0"/>
        <v>22.95</v>
      </c>
      <c r="AA23" s="58">
        <f t="shared" si="1"/>
        <v>19.759999999999998</v>
      </c>
      <c r="AB23" s="58">
        <f t="shared" si="2"/>
        <v>22.05</v>
      </c>
      <c r="AC23" s="58">
        <f t="shared" si="3"/>
        <v>32.24</v>
      </c>
      <c r="AD23" s="59">
        <f t="shared" si="5"/>
        <v>0.51</v>
      </c>
      <c r="AE23" s="59">
        <f t="shared" si="6"/>
        <v>0.62</v>
      </c>
      <c r="AF23" s="59">
        <f t="shared" si="7"/>
        <v>0.53734488410208392</v>
      </c>
      <c r="AG23" s="59">
        <f t="shared" si="8"/>
        <v>0.5938478541167802</v>
      </c>
      <c r="AH23" s="59">
        <f t="shared" si="9"/>
        <v>0.56896907216494841</v>
      </c>
    </row>
    <row r="24" spans="1:34" ht="18" customHeight="1" x14ac:dyDescent="0.3">
      <c r="A24" s="56">
        <v>3798</v>
      </c>
      <c r="B24" s="23" t="s">
        <v>607</v>
      </c>
      <c r="C24" s="14">
        <v>1995</v>
      </c>
      <c r="D24" s="18" t="str">
        <f>VLOOKUP(A24, '전체 목록(n=66)'!C:F, 4, FALSE)</f>
        <v>프랑스</v>
      </c>
      <c r="E24" s="6">
        <f>G24+I24</f>
        <v>97</v>
      </c>
      <c r="F24" s="6" t="s">
        <v>498</v>
      </c>
      <c r="G24" s="6">
        <v>45</v>
      </c>
      <c r="H24" s="6" t="s">
        <v>499</v>
      </c>
      <c r="I24" s="6">
        <v>52</v>
      </c>
      <c r="J24" s="6" t="s">
        <v>39</v>
      </c>
      <c r="K24" s="6" t="s">
        <v>500</v>
      </c>
      <c r="L24" s="19"/>
      <c r="M24" s="19"/>
      <c r="N24" s="19"/>
      <c r="O24" s="19"/>
      <c r="P24" s="19">
        <v>60</v>
      </c>
      <c r="Q24" s="19">
        <v>75</v>
      </c>
      <c r="R24" s="19">
        <v>63</v>
      </c>
      <c r="S24" s="19">
        <v>72</v>
      </c>
      <c r="T24" s="19"/>
      <c r="U24" s="19"/>
      <c r="V24" s="19"/>
      <c r="W24" s="19"/>
      <c r="X24" s="19"/>
      <c r="Y24" s="19"/>
      <c r="Z24" s="58">
        <f t="shared" si="0"/>
        <v>27</v>
      </c>
      <c r="AA24" s="58">
        <f t="shared" si="1"/>
        <v>13</v>
      </c>
      <c r="AB24" s="58">
        <f t="shared" si="2"/>
        <v>18</v>
      </c>
      <c r="AC24" s="58">
        <f t="shared" si="3"/>
        <v>39</v>
      </c>
      <c r="AD24" s="59">
        <f t="shared" si="5"/>
        <v>0.6</v>
      </c>
      <c r="AE24" s="59">
        <f t="shared" si="6"/>
        <v>0.75</v>
      </c>
      <c r="AF24" s="59">
        <f t="shared" si="7"/>
        <v>0.67500000000000004</v>
      </c>
      <c r="AG24" s="59">
        <f t="shared" si="8"/>
        <v>0.68421052631578949</v>
      </c>
      <c r="AH24" s="59">
        <f t="shared" si="9"/>
        <v>0.68041237113402064</v>
      </c>
    </row>
    <row r="25" spans="1:34" ht="18" customHeight="1" x14ac:dyDescent="0.3">
      <c r="A25" s="56">
        <v>3798</v>
      </c>
      <c r="B25" s="23" t="s">
        <v>607</v>
      </c>
      <c r="C25" s="14">
        <v>1995</v>
      </c>
      <c r="D25" s="18" t="str">
        <f>VLOOKUP(A25, '전체 목록(n=66)'!C:F, 4, FALSE)</f>
        <v>프랑스</v>
      </c>
      <c r="E25" s="6">
        <f>G25+I25</f>
        <v>97</v>
      </c>
      <c r="F25" s="6" t="s">
        <v>498</v>
      </c>
      <c r="G25" s="6">
        <v>45</v>
      </c>
      <c r="H25" s="6" t="s">
        <v>499</v>
      </c>
      <c r="I25" s="6">
        <v>52</v>
      </c>
      <c r="J25" s="6" t="s">
        <v>121</v>
      </c>
      <c r="K25" s="6" t="s">
        <v>500</v>
      </c>
      <c r="L25" s="19"/>
      <c r="M25" s="19"/>
      <c r="N25" s="19"/>
      <c r="O25" s="19"/>
      <c r="P25" s="19">
        <v>67</v>
      </c>
      <c r="Q25" s="19">
        <v>58</v>
      </c>
      <c r="R25" s="19">
        <v>55</v>
      </c>
      <c r="S25" s="19">
        <v>70</v>
      </c>
      <c r="T25" s="19"/>
      <c r="U25" s="19"/>
      <c r="V25" s="19"/>
      <c r="W25" s="19"/>
      <c r="X25" s="19"/>
      <c r="Y25" s="19"/>
      <c r="Z25" s="58">
        <f t="shared" si="0"/>
        <v>30.15</v>
      </c>
      <c r="AA25" s="58">
        <f t="shared" si="1"/>
        <v>21.84</v>
      </c>
      <c r="AB25" s="58">
        <f t="shared" si="2"/>
        <v>14.850000000000001</v>
      </c>
      <c r="AC25" s="58">
        <f t="shared" si="3"/>
        <v>30.16</v>
      </c>
      <c r="AD25" s="59">
        <f t="shared" si="5"/>
        <v>0.66999999999999993</v>
      </c>
      <c r="AE25" s="59">
        <f t="shared" si="6"/>
        <v>0.57999999999999996</v>
      </c>
      <c r="AF25" s="59">
        <f t="shared" si="7"/>
        <v>0.57991921523369883</v>
      </c>
      <c r="AG25" s="59">
        <f t="shared" si="8"/>
        <v>0.67007331704065753</v>
      </c>
      <c r="AH25" s="59">
        <f t="shared" si="9"/>
        <v>0.62175257731958766</v>
      </c>
    </row>
  </sheetData>
  <sheetProtection algorithmName="SHA-512" hashValue="WIEYRMrGQiFc0f2YXJ02MpyyzQKkWhZnfKqK5iUbyT7WrZIgwOefu4zStGaHh3EtYMpxri3OSZA4ECQq2yiZdQ==" saltValue="4itqNdwJrhdNslyxiC1z+A==" spinCount="100000" sheet="1" objects="1" scenarios="1" selectLockedCells="1" selectUnlockedCells="1"/>
  <mergeCells count="12">
    <mergeCell ref="Z1:AH1"/>
    <mergeCell ref="F2:G2"/>
    <mergeCell ref="H2:I2"/>
    <mergeCell ref="W2:X2"/>
    <mergeCell ref="L1:Y1"/>
    <mergeCell ref="J1:J3"/>
    <mergeCell ref="K1:K3"/>
    <mergeCell ref="D1:D3"/>
    <mergeCell ref="C1:C3"/>
    <mergeCell ref="B1:B3"/>
    <mergeCell ref="A1:A3"/>
    <mergeCell ref="E1:I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5"/>
  <sheetViews>
    <sheetView zoomScale="70" zoomScaleNormal="70" workbookViewId="0">
      <pane ySplit="3" topLeftCell="A4" activePane="bottomLeft" state="frozen"/>
      <selection pane="bottomLeft" activeCell="W11" sqref="W11"/>
    </sheetView>
  </sheetViews>
  <sheetFormatPr defaultRowHeight="13.5" x14ac:dyDescent="0.3"/>
  <cols>
    <col min="1" max="1" width="6.375" style="15" customWidth="1"/>
    <col min="2" max="2" width="9.625" style="19" customWidth="1"/>
    <col min="3" max="3" width="8.875" style="41" customWidth="1"/>
    <col min="4" max="4" width="11.25" style="19" customWidth="1"/>
    <col min="5" max="5" width="5.5" style="2" customWidth="1"/>
    <col min="6" max="6" width="9.375" style="2" customWidth="1"/>
    <col min="7" max="7" width="6.75" style="2" customWidth="1"/>
    <col min="8" max="8" width="7.875" style="2" customWidth="1"/>
    <col min="9" max="9" width="6.75" style="2" customWidth="1"/>
    <col min="10" max="10" width="18.625" style="2" customWidth="1"/>
    <col min="11" max="11" width="13.875" style="2" customWidth="1"/>
    <col min="12" max="14" width="4.5" style="1" customWidth="1"/>
    <col min="15" max="15" width="6.125" style="1" customWidth="1"/>
    <col min="16" max="21" width="5.5" style="1" customWidth="1"/>
    <col min="22" max="22" width="10.125" style="1" bestFit="1" customWidth="1"/>
    <col min="23" max="23" width="5.5" style="1" customWidth="1"/>
    <col min="24" max="24" width="10.625" style="1" bestFit="1" customWidth="1"/>
    <col min="25" max="25" width="6.5" style="1" bestFit="1" customWidth="1"/>
    <col min="26" max="33" width="5.75" style="1" customWidth="1"/>
    <col min="34" max="34" width="10.125" style="1" bestFit="1" customWidth="1"/>
    <col min="35" max="16384" width="9" style="1"/>
  </cols>
  <sheetData>
    <row r="1" spans="1:34" ht="16.5" customHeight="1" x14ac:dyDescent="0.3">
      <c r="A1" s="102" t="s">
        <v>0</v>
      </c>
      <c r="B1" s="102" t="s">
        <v>1</v>
      </c>
      <c r="C1" s="102" t="s">
        <v>33</v>
      </c>
      <c r="D1" s="102" t="s">
        <v>3</v>
      </c>
      <c r="E1" s="108" t="s">
        <v>4</v>
      </c>
      <c r="F1" s="108"/>
      <c r="G1" s="108"/>
      <c r="H1" s="108"/>
      <c r="I1" s="108"/>
      <c r="J1" s="105" t="s">
        <v>611</v>
      </c>
      <c r="K1" s="105" t="s">
        <v>314</v>
      </c>
      <c r="L1" s="111" t="s">
        <v>627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09" t="s">
        <v>5</v>
      </c>
      <c r="AA1" s="109"/>
      <c r="AB1" s="109"/>
      <c r="AC1" s="109"/>
      <c r="AD1" s="109"/>
      <c r="AE1" s="109"/>
      <c r="AF1" s="109"/>
      <c r="AG1" s="109"/>
      <c r="AH1" s="109"/>
    </row>
    <row r="2" spans="1:34" ht="17.25" customHeight="1" x14ac:dyDescent="0.3">
      <c r="A2" s="103"/>
      <c r="B2" s="103"/>
      <c r="C2" s="103"/>
      <c r="D2" s="103"/>
      <c r="E2" s="42" t="s">
        <v>34</v>
      </c>
      <c r="F2" s="108" t="s">
        <v>6</v>
      </c>
      <c r="G2" s="108"/>
      <c r="H2" s="108" t="s">
        <v>7</v>
      </c>
      <c r="I2" s="108"/>
      <c r="J2" s="106"/>
      <c r="K2" s="106"/>
      <c r="L2" s="4" t="s">
        <v>8</v>
      </c>
      <c r="M2" s="4" t="s">
        <v>9</v>
      </c>
      <c r="N2" s="4" t="s">
        <v>10</v>
      </c>
      <c r="O2" s="4" t="s">
        <v>11</v>
      </c>
      <c r="P2" s="43" t="s">
        <v>12</v>
      </c>
      <c r="Q2" s="43" t="s">
        <v>13</v>
      </c>
      <c r="R2" s="43" t="s">
        <v>14</v>
      </c>
      <c r="S2" s="43" t="s">
        <v>15</v>
      </c>
      <c r="T2" s="43" t="s">
        <v>16</v>
      </c>
      <c r="U2" s="43" t="s">
        <v>17</v>
      </c>
      <c r="V2" s="3" t="s">
        <v>18</v>
      </c>
      <c r="W2" s="110" t="s">
        <v>19</v>
      </c>
      <c r="X2" s="110"/>
      <c r="Y2" s="43" t="s">
        <v>20</v>
      </c>
      <c r="Z2" s="5" t="s">
        <v>8</v>
      </c>
      <c r="AA2" s="5" t="s">
        <v>9</v>
      </c>
      <c r="AB2" s="5" t="s">
        <v>10</v>
      </c>
      <c r="AC2" s="5" t="s">
        <v>11</v>
      </c>
      <c r="AD2" s="43" t="s">
        <v>21</v>
      </c>
      <c r="AE2" s="43" t="s">
        <v>13</v>
      </c>
      <c r="AF2" s="43" t="s">
        <v>14</v>
      </c>
      <c r="AG2" s="43" t="s">
        <v>15</v>
      </c>
      <c r="AH2" s="3" t="s">
        <v>18</v>
      </c>
    </row>
    <row r="3" spans="1:34" ht="17.25" customHeight="1" x14ac:dyDescent="0.3">
      <c r="A3" s="104"/>
      <c r="B3" s="104"/>
      <c r="C3" s="104"/>
      <c r="D3" s="104"/>
      <c r="E3" s="25" t="s">
        <v>23</v>
      </c>
      <c r="F3" s="25" t="s">
        <v>22</v>
      </c>
      <c r="G3" s="25" t="s">
        <v>23</v>
      </c>
      <c r="H3" s="25" t="s">
        <v>22</v>
      </c>
      <c r="I3" s="25" t="s">
        <v>23</v>
      </c>
      <c r="J3" s="107"/>
      <c r="K3" s="107"/>
      <c r="L3" s="26" t="s">
        <v>23</v>
      </c>
      <c r="M3" s="26" t="s">
        <v>23</v>
      </c>
      <c r="N3" s="26" t="s">
        <v>23</v>
      </c>
      <c r="O3" s="26" t="s">
        <v>23</v>
      </c>
      <c r="P3" s="27" t="s">
        <v>24</v>
      </c>
      <c r="Q3" s="27" t="s">
        <v>24</v>
      </c>
      <c r="R3" s="27" t="s">
        <v>24</v>
      </c>
      <c r="S3" s="27" t="s">
        <v>24</v>
      </c>
      <c r="T3" s="27" t="s">
        <v>24</v>
      </c>
      <c r="U3" s="27" t="s">
        <v>24</v>
      </c>
      <c r="V3" s="27" t="s">
        <v>24</v>
      </c>
      <c r="W3" s="27" t="s">
        <v>25</v>
      </c>
      <c r="X3" s="27" t="s">
        <v>26</v>
      </c>
      <c r="Y3" s="27" t="s">
        <v>27</v>
      </c>
      <c r="Z3" s="26" t="s">
        <v>23</v>
      </c>
      <c r="AA3" s="26" t="s">
        <v>23</v>
      </c>
      <c r="AB3" s="26" t="s">
        <v>23</v>
      </c>
      <c r="AC3" s="26" t="s">
        <v>23</v>
      </c>
      <c r="AD3" s="27" t="s">
        <v>24</v>
      </c>
      <c r="AE3" s="27" t="s">
        <v>24</v>
      </c>
      <c r="AF3" s="27" t="s">
        <v>24</v>
      </c>
      <c r="AG3" s="27" t="s">
        <v>24</v>
      </c>
      <c r="AH3" s="27" t="s">
        <v>24</v>
      </c>
    </row>
    <row r="4" spans="1:34" ht="18" customHeight="1" x14ac:dyDescent="0.3">
      <c r="A4" s="41">
        <v>555</v>
      </c>
      <c r="B4" s="23" t="s">
        <v>599</v>
      </c>
      <c r="C4" s="14">
        <v>2017</v>
      </c>
      <c r="D4" s="18" t="s">
        <v>551</v>
      </c>
      <c r="E4" s="6">
        <f>G4+I4</f>
        <v>323</v>
      </c>
      <c r="F4" s="6" t="s">
        <v>97</v>
      </c>
      <c r="G4" s="6">
        <v>208</v>
      </c>
      <c r="H4" s="6" t="s">
        <v>98</v>
      </c>
      <c r="I4" s="6">
        <v>115</v>
      </c>
      <c r="J4" s="6" t="s">
        <v>39</v>
      </c>
      <c r="K4" s="6" t="s">
        <v>55</v>
      </c>
      <c r="L4" s="19">
        <v>176</v>
      </c>
      <c r="M4" s="19">
        <v>35</v>
      </c>
      <c r="N4" s="19">
        <v>32</v>
      </c>
      <c r="O4" s="19">
        <v>80</v>
      </c>
      <c r="P4" s="57">
        <f>84.62</f>
        <v>84.62</v>
      </c>
      <c r="Q4" s="57">
        <f>69.57</f>
        <v>69.569999999999993</v>
      </c>
      <c r="R4" s="19"/>
      <c r="S4" s="19"/>
      <c r="T4" s="19"/>
      <c r="U4" s="19"/>
      <c r="V4" s="19"/>
      <c r="W4" s="19"/>
      <c r="X4" s="19"/>
      <c r="Y4" s="19"/>
      <c r="Z4" s="58">
        <f>G4*P4/100</f>
        <v>176.00959999999998</v>
      </c>
      <c r="AA4" s="58">
        <f t="shared" ref="AA4:AA5" si="0">I4-AC4</f>
        <v>34.994500000000002</v>
      </c>
      <c r="AB4" s="58">
        <f>G4-Z4</f>
        <v>31.990400000000022</v>
      </c>
      <c r="AC4" s="58">
        <f t="shared" ref="AC4:AC5" si="1">I4*Q4/100</f>
        <v>80.005499999999998</v>
      </c>
      <c r="AD4" s="59">
        <f t="shared" ref="AD4:AD5" si="2">Z4/(Z4+AB4)</f>
        <v>0.84619999999999984</v>
      </c>
      <c r="AE4" s="59">
        <f t="shared" ref="AE4:AE5" si="3">AC4/(AA4+AC4)</f>
        <v>0.69569999999999999</v>
      </c>
      <c r="AF4" s="59">
        <f t="shared" ref="AF4:AF5" si="4">Z4/(Z4+AA4)</f>
        <v>0.83415251172844496</v>
      </c>
      <c r="AG4" s="59">
        <f t="shared" ref="AG4:AG5" si="5">AC4/(AB4+AC4)</f>
        <v>0.71436097214273009</v>
      </c>
      <c r="AH4" s="59">
        <f t="shared" ref="AH4:AH5" si="6">(Z4+AC4)/(Z4+AA4+AB4+AC4)</f>
        <v>0.79261640866873051</v>
      </c>
    </row>
    <row r="5" spans="1:34" ht="18" customHeight="1" x14ac:dyDescent="0.3">
      <c r="A5" s="41">
        <v>555</v>
      </c>
      <c r="B5" s="23" t="s">
        <v>599</v>
      </c>
      <c r="C5" s="14">
        <v>2017</v>
      </c>
      <c r="D5" s="18" t="s">
        <v>551</v>
      </c>
      <c r="E5" s="6">
        <f>G5+I5</f>
        <v>323</v>
      </c>
      <c r="F5" s="6" t="s">
        <v>97</v>
      </c>
      <c r="G5" s="6">
        <v>208</v>
      </c>
      <c r="H5" s="6" t="s">
        <v>98</v>
      </c>
      <c r="I5" s="6">
        <v>115</v>
      </c>
      <c r="J5" s="6" t="s">
        <v>51</v>
      </c>
      <c r="K5" s="6" t="s">
        <v>55</v>
      </c>
      <c r="L5" s="19">
        <v>166</v>
      </c>
      <c r="M5" s="19">
        <v>6</v>
      </c>
      <c r="N5" s="19">
        <v>42</v>
      </c>
      <c r="O5" s="19">
        <v>109</v>
      </c>
      <c r="P5" s="57">
        <f>79.82</f>
        <v>79.819999999999993</v>
      </c>
      <c r="Q5" s="57">
        <f>94.78</f>
        <v>94.78</v>
      </c>
      <c r="R5" s="19"/>
      <c r="S5" s="19"/>
      <c r="T5" s="19"/>
      <c r="U5" s="19"/>
      <c r="V5" s="19"/>
      <c r="W5" s="19"/>
      <c r="X5" s="19"/>
      <c r="Y5" s="19"/>
      <c r="Z5" s="58">
        <f>G5*P5/100</f>
        <v>166.02559999999997</v>
      </c>
      <c r="AA5" s="58">
        <f t="shared" si="0"/>
        <v>6.0029999999999859</v>
      </c>
      <c r="AB5" s="58">
        <f>G5-Z5</f>
        <v>41.974400000000031</v>
      </c>
      <c r="AC5" s="58">
        <f t="shared" si="1"/>
        <v>108.99700000000001</v>
      </c>
      <c r="AD5" s="59">
        <f t="shared" si="2"/>
        <v>0.7981999999999998</v>
      </c>
      <c r="AE5" s="59">
        <f t="shared" si="3"/>
        <v>0.94780000000000009</v>
      </c>
      <c r="AF5" s="59">
        <f t="shared" si="4"/>
        <v>0.96510463957737269</v>
      </c>
      <c r="AG5" s="59">
        <f t="shared" si="5"/>
        <v>0.72197118129658988</v>
      </c>
      <c r="AH5" s="59">
        <f t="shared" si="6"/>
        <v>0.85146315789473692</v>
      </c>
    </row>
    <row r="6" spans="1:34" ht="18" customHeight="1" x14ac:dyDescent="0.3">
      <c r="A6" s="41">
        <v>555</v>
      </c>
      <c r="B6" s="23" t="s">
        <v>599</v>
      </c>
      <c r="C6" s="14">
        <v>2017</v>
      </c>
      <c r="D6" s="18" t="str">
        <f>VLOOKUP(A6, '전체 목록(n=66)'!C:F, 4, FALSE)</f>
        <v>중국</v>
      </c>
      <c r="E6" s="6">
        <f>G6+I6</f>
        <v>323</v>
      </c>
      <c r="F6" s="6" t="s">
        <v>97</v>
      </c>
      <c r="G6" s="6">
        <v>208</v>
      </c>
      <c r="H6" s="6" t="s">
        <v>98</v>
      </c>
      <c r="I6" s="6">
        <v>115</v>
      </c>
      <c r="J6" s="6" t="s">
        <v>452</v>
      </c>
      <c r="K6" s="6" t="s">
        <v>55</v>
      </c>
      <c r="L6" s="19">
        <v>178</v>
      </c>
      <c r="M6" s="19">
        <v>37</v>
      </c>
      <c r="N6" s="19">
        <v>30</v>
      </c>
      <c r="O6" s="19">
        <v>78</v>
      </c>
      <c r="P6" s="62">
        <f>85.58</f>
        <v>85.58</v>
      </c>
      <c r="Q6" s="62">
        <f>67.83</f>
        <v>67.83</v>
      </c>
      <c r="R6" s="19"/>
      <c r="S6" s="19"/>
      <c r="T6" s="19"/>
      <c r="U6" s="19"/>
      <c r="V6" s="19"/>
      <c r="W6" s="19"/>
      <c r="X6" s="19"/>
      <c r="Y6" s="19"/>
      <c r="Z6" s="58">
        <f t="shared" ref="Z6:Z83" si="7">G6*P6/100</f>
        <v>178.00639999999999</v>
      </c>
      <c r="AA6" s="58">
        <f t="shared" ref="AA6:AA82" si="8">I6-AC6</f>
        <v>36.995500000000007</v>
      </c>
      <c r="AB6" s="58">
        <f t="shared" ref="AB6:AB83" si="9">G6-Z6</f>
        <v>29.993600000000015</v>
      </c>
      <c r="AC6" s="58">
        <f t="shared" ref="AC6:AC82" si="10">I6*Q6/100</f>
        <v>78.004499999999993</v>
      </c>
      <c r="AD6" s="59">
        <f t="shared" ref="AD6:AD82" si="11">Z6/(Z6+AB6)</f>
        <v>0.85579999999999989</v>
      </c>
      <c r="AE6" s="59">
        <f t="shared" ref="AE6:AE82" si="12">AC6/(AA6+AC6)</f>
        <v>0.6782999999999999</v>
      </c>
      <c r="AF6" s="59">
        <f t="shared" ref="AF6:AF82" si="13">Z6/(Z6+AA6)</f>
        <v>0.82792942760040722</v>
      </c>
      <c r="AG6" s="59">
        <f t="shared" ref="AG6:AG82" si="14">AC6/(AB6+AC6)</f>
        <v>0.72227659560677449</v>
      </c>
      <c r="AH6" s="59">
        <f t="shared" ref="AH6:AH82" si="15">(Z6+AC6)/(Z6+AA6+AB6+AC6)</f>
        <v>0.79260340557275544</v>
      </c>
    </row>
    <row r="7" spans="1:34" s="19" customFormat="1" ht="18" customHeight="1" x14ac:dyDescent="0.3">
      <c r="A7" s="41">
        <v>8303</v>
      </c>
      <c r="B7" s="23" t="s">
        <v>550</v>
      </c>
      <c r="C7" s="14">
        <v>2017</v>
      </c>
      <c r="D7" s="18" t="s">
        <v>551</v>
      </c>
      <c r="E7" s="6">
        <v>150</v>
      </c>
      <c r="F7" s="6" t="s">
        <v>61</v>
      </c>
      <c r="G7" s="6">
        <v>50</v>
      </c>
      <c r="H7" s="6" t="s">
        <v>65</v>
      </c>
      <c r="I7" s="6">
        <v>50</v>
      </c>
      <c r="J7" s="23" t="s">
        <v>39</v>
      </c>
      <c r="K7" s="6" t="s">
        <v>544</v>
      </c>
      <c r="P7" s="19">
        <v>65.540000000000006</v>
      </c>
      <c r="Q7" s="19">
        <v>56.24</v>
      </c>
      <c r="Z7" s="58">
        <f t="shared" ref="Z7:Z12" si="16">G7*P7/100</f>
        <v>32.770000000000003</v>
      </c>
      <c r="AA7" s="58">
        <f t="shared" ref="AA7:AA12" si="17">I7-AC7</f>
        <v>21.88</v>
      </c>
      <c r="AB7" s="58">
        <f t="shared" ref="AB7:AB12" si="18">G7-Z7</f>
        <v>17.229999999999997</v>
      </c>
      <c r="AC7" s="58">
        <f t="shared" ref="AC7:AC12" si="19">I7*Q7/100</f>
        <v>28.12</v>
      </c>
      <c r="AD7" s="59">
        <f t="shared" ref="AD7:AD12" si="20">Z7/(Z7+AB7)</f>
        <v>0.65540000000000009</v>
      </c>
      <c r="AE7" s="59">
        <f t="shared" ref="AE7:AE12" si="21">AC7/(AA7+AC7)</f>
        <v>0.56240000000000001</v>
      </c>
      <c r="AF7" s="59">
        <f t="shared" ref="AF7:AF12" si="22">Z7/(Z7+AA7)</f>
        <v>0.59963403476669719</v>
      </c>
      <c r="AG7" s="59">
        <f t="shared" ref="AG7:AG12" si="23">AC7/(AB7+AC7)</f>
        <v>0.62006615214994498</v>
      </c>
      <c r="AH7" s="59">
        <f t="shared" ref="AH7:AH12" si="24">(Z7+AC7)/(Z7+AA7+AB7+AC7)</f>
        <v>0.6089</v>
      </c>
    </row>
    <row r="8" spans="1:34" s="19" customFormat="1" ht="18" customHeight="1" x14ac:dyDescent="0.3">
      <c r="A8" s="41">
        <v>8303</v>
      </c>
      <c r="B8" s="23" t="s">
        <v>550</v>
      </c>
      <c r="C8" s="14">
        <v>2017</v>
      </c>
      <c r="D8" s="18" t="s">
        <v>551</v>
      </c>
      <c r="E8" s="6">
        <v>150</v>
      </c>
      <c r="F8" s="6" t="s">
        <v>61</v>
      </c>
      <c r="G8" s="6">
        <v>50</v>
      </c>
      <c r="H8" s="6" t="s">
        <v>65</v>
      </c>
      <c r="I8" s="6">
        <v>50</v>
      </c>
      <c r="J8" s="6" t="s">
        <v>51</v>
      </c>
      <c r="K8" s="6" t="s">
        <v>544</v>
      </c>
      <c r="P8" s="19">
        <v>0</v>
      </c>
      <c r="Q8" s="19">
        <v>0</v>
      </c>
      <c r="Z8" s="58">
        <f t="shared" si="16"/>
        <v>0</v>
      </c>
      <c r="AA8" s="58">
        <f t="shared" si="17"/>
        <v>50</v>
      </c>
      <c r="AB8" s="58">
        <f t="shared" si="18"/>
        <v>50</v>
      </c>
      <c r="AC8" s="58">
        <f t="shared" si="19"/>
        <v>0</v>
      </c>
      <c r="AD8" s="59">
        <f t="shared" si="20"/>
        <v>0</v>
      </c>
      <c r="AE8" s="59">
        <f t="shared" si="21"/>
        <v>0</v>
      </c>
      <c r="AF8" s="59">
        <f t="shared" si="22"/>
        <v>0</v>
      </c>
      <c r="AG8" s="59">
        <f t="shared" si="23"/>
        <v>0</v>
      </c>
      <c r="AH8" s="59">
        <f t="shared" si="24"/>
        <v>0</v>
      </c>
    </row>
    <row r="9" spans="1:34" s="19" customFormat="1" ht="18" customHeight="1" x14ac:dyDescent="0.3">
      <c r="A9" s="41">
        <v>8303</v>
      </c>
      <c r="B9" s="23" t="s">
        <v>550</v>
      </c>
      <c r="C9" s="14">
        <v>2017</v>
      </c>
      <c r="D9" s="18" t="s">
        <v>551</v>
      </c>
      <c r="E9" s="6">
        <v>150</v>
      </c>
      <c r="F9" s="6" t="s">
        <v>61</v>
      </c>
      <c r="G9" s="6">
        <v>50</v>
      </c>
      <c r="H9" s="6" t="s">
        <v>65</v>
      </c>
      <c r="I9" s="6">
        <v>50</v>
      </c>
      <c r="J9" s="23" t="s">
        <v>39</v>
      </c>
      <c r="K9" s="6" t="s">
        <v>64</v>
      </c>
      <c r="P9" s="19">
        <v>87.32</v>
      </c>
      <c r="Q9" s="19">
        <v>82.48</v>
      </c>
      <c r="Z9" s="58">
        <f t="shared" si="16"/>
        <v>43.66</v>
      </c>
      <c r="AA9" s="58">
        <f t="shared" si="17"/>
        <v>8.759999999999998</v>
      </c>
      <c r="AB9" s="58">
        <f t="shared" si="18"/>
        <v>6.3400000000000034</v>
      </c>
      <c r="AC9" s="58">
        <f t="shared" si="19"/>
        <v>41.24</v>
      </c>
      <c r="AD9" s="59">
        <f t="shared" si="20"/>
        <v>0.87319999999999998</v>
      </c>
      <c r="AE9" s="59">
        <f t="shared" si="21"/>
        <v>0.82480000000000009</v>
      </c>
      <c r="AF9" s="59">
        <f t="shared" si="22"/>
        <v>0.83288821060663876</v>
      </c>
      <c r="AG9" s="59">
        <f t="shared" si="23"/>
        <v>0.8667507356031946</v>
      </c>
      <c r="AH9" s="59">
        <f t="shared" si="24"/>
        <v>0.84900000000000009</v>
      </c>
    </row>
    <row r="10" spans="1:34" s="19" customFormat="1" ht="18" customHeight="1" x14ac:dyDescent="0.3">
      <c r="A10" s="41">
        <v>8303</v>
      </c>
      <c r="B10" s="23" t="s">
        <v>550</v>
      </c>
      <c r="C10" s="14">
        <v>2017</v>
      </c>
      <c r="D10" s="18" t="s">
        <v>551</v>
      </c>
      <c r="E10" s="6">
        <v>150</v>
      </c>
      <c r="F10" s="6" t="s">
        <v>61</v>
      </c>
      <c r="G10" s="6">
        <v>50</v>
      </c>
      <c r="H10" s="6" t="s">
        <v>65</v>
      </c>
      <c r="I10" s="6">
        <v>50</v>
      </c>
      <c r="J10" s="6" t="s">
        <v>51</v>
      </c>
      <c r="K10" s="6" t="s">
        <v>64</v>
      </c>
      <c r="P10" s="19">
        <v>54.53</v>
      </c>
      <c r="Q10" s="19">
        <v>58.43</v>
      </c>
      <c r="Z10" s="58">
        <f t="shared" si="16"/>
        <v>27.265000000000001</v>
      </c>
      <c r="AA10" s="58">
        <f t="shared" si="17"/>
        <v>20.785</v>
      </c>
      <c r="AB10" s="58">
        <f t="shared" si="18"/>
        <v>22.734999999999999</v>
      </c>
      <c r="AC10" s="58">
        <f t="shared" si="19"/>
        <v>29.215</v>
      </c>
      <c r="AD10" s="59">
        <f t="shared" si="20"/>
        <v>0.54530000000000001</v>
      </c>
      <c r="AE10" s="59">
        <f t="shared" si="21"/>
        <v>0.58430000000000004</v>
      </c>
      <c r="AF10" s="59">
        <f t="shared" si="22"/>
        <v>0.56742976066597295</v>
      </c>
      <c r="AG10" s="59">
        <f t="shared" si="23"/>
        <v>0.56236766121270454</v>
      </c>
      <c r="AH10" s="59">
        <f t="shared" si="24"/>
        <v>0.56480000000000008</v>
      </c>
    </row>
    <row r="11" spans="1:34" s="19" customFormat="1" ht="18" customHeight="1" x14ac:dyDescent="0.3">
      <c r="A11" s="41">
        <v>8303</v>
      </c>
      <c r="B11" s="23" t="s">
        <v>550</v>
      </c>
      <c r="C11" s="14">
        <v>2017</v>
      </c>
      <c r="D11" s="18" t="s">
        <v>551</v>
      </c>
      <c r="E11" s="6">
        <v>150</v>
      </c>
      <c r="F11" s="6" t="s">
        <v>61</v>
      </c>
      <c r="G11" s="6">
        <v>50</v>
      </c>
      <c r="H11" s="6" t="s">
        <v>65</v>
      </c>
      <c r="I11" s="6">
        <v>50</v>
      </c>
      <c r="J11" s="23" t="s">
        <v>39</v>
      </c>
      <c r="K11" s="6" t="s">
        <v>545</v>
      </c>
      <c r="P11" s="19">
        <v>100</v>
      </c>
      <c r="Q11" s="19">
        <v>95.32</v>
      </c>
      <c r="Z11" s="58">
        <f t="shared" si="16"/>
        <v>50</v>
      </c>
      <c r="AA11" s="58">
        <f t="shared" si="17"/>
        <v>2.3400000000000034</v>
      </c>
      <c r="AB11" s="58">
        <f t="shared" si="18"/>
        <v>0</v>
      </c>
      <c r="AC11" s="58">
        <f t="shared" si="19"/>
        <v>47.66</v>
      </c>
      <c r="AD11" s="59">
        <f t="shared" si="20"/>
        <v>1</v>
      </c>
      <c r="AE11" s="59">
        <f t="shared" si="21"/>
        <v>0.95319999999999994</v>
      </c>
      <c r="AF11" s="59">
        <f t="shared" si="22"/>
        <v>0.95529231944975157</v>
      </c>
      <c r="AG11" s="59">
        <f t="shared" si="23"/>
        <v>1</v>
      </c>
      <c r="AH11" s="59">
        <f t="shared" si="24"/>
        <v>0.97659999999999991</v>
      </c>
    </row>
    <row r="12" spans="1:34" s="19" customFormat="1" ht="18" customHeight="1" x14ac:dyDescent="0.3">
      <c r="A12" s="41">
        <v>8303</v>
      </c>
      <c r="B12" s="23" t="s">
        <v>550</v>
      </c>
      <c r="C12" s="14">
        <v>2017</v>
      </c>
      <c r="D12" s="18" t="s">
        <v>551</v>
      </c>
      <c r="E12" s="6">
        <v>150</v>
      </c>
      <c r="F12" s="6" t="s">
        <v>61</v>
      </c>
      <c r="G12" s="6">
        <v>50</v>
      </c>
      <c r="H12" s="6" t="s">
        <v>65</v>
      </c>
      <c r="I12" s="6">
        <v>50</v>
      </c>
      <c r="J12" s="6" t="s">
        <v>51</v>
      </c>
      <c r="K12" s="6" t="s">
        <v>545</v>
      </c>
      <c r="P12" s="19">
        <v>100</v>
      </c>
      <c r="Q12" s="19">
        <v>90.24</v>
      </c>
      <c r="Z12" s="58">
        <f t="shared" si="16"/>
        <v>50</v>
      </c>
      <c r="AA12" s="58">
        <f t="shared" si="17"/>
        <v>4.8800000000000026</v>
      </c>
      <c r="AB12" s="58">
        <f t="shared" si="18"/>
        <v>0</v>
      </c>
      <c r="AC12" s="58">
        <f t="shared" si="19"/>
        <v>45.12</v>
      </c>
      <c r="AD12" s="59">
        <f t="shared" si="20"/>
        <v>1</v>
      </c>
      <c r="AE12" s="59">
        <f t="shared" si="21"/>
        <v>0.90239999999999998</v>
      </c>
      <c r="AF12" s="59">
        <f t="shared" si="22"/>
        <v>0.91107871720116618</v>
      </c>
      <c r="AG12" s="59">
        <f t="shared" si="23"/>
        <v>1</v>
      </c>
      <c r="AH12" s="59">
        <f t="shared" si="24"/>
        <v>0.95120000000000005</v>
      </c>
    </row>
    <row r="13" spans="1:34" s="19" customFormat="1" ht="18" customHeight="1" x14ac:dyDescent="0.3">
      <c r="A13" s="41">
        <v>8303</v>
      </c>
      <c r="B13" s="23" t="s">
        <v>550</v>
      </c>
      <c r="C13" s="14">
        <v>2017</v>
      </c>
      <c r="D13" s="18" t="str">
        <f>VLOOKUP(A13, '전체 목록(n=66)'!C:F, 4, FALSE)</f>
        <v>중국</v>
      </c>
      <c r="E13" s="6">
        <v>150</v>
      </c>
      <c r="F13" s="6" t="s">
        <v>61</v>
      </c>
      <c r="G13" s="6">
        <v>50</v>
      </c>
      <c r="H13" s="6" t="s">
        <v>65</v>
      </c>
      <c r="I13" s="6">
        <v>50</v>
      </c>
      <c r="J13" s="6" t="s">
        <v>325</v>
      </c>
      <c r="K13" s="6" t="s">
        <v>199</v>
      </c>
      <c r="P13" s="62">
        <v>42.46</v>
      </c>
      <c r="Q13" s="62">
        <v>84.66</v>
      </c>
      <c r="Z13" s="58">
        <f t="shared" si="7"/>
        <v>21.23</v>
      </c>
      <c r="AA13" s="58">
        <f t="shared" si="8"/>
        <v>7.6700000000000017</v>
      </c>
      <c r="AB13" s="58">
        <f t="shared" si="9"/>
        <v>28.77</v>
      </c>
      <c r="AC13" s="58">
        <f t="shared" si="10"/>
        <v>42.33</v>
      </c>
      <c r="AD13" s="59">
        <f t="shared" si="11"/>
        <v>0.42460000000000003</v>
      </c>
      <c r="AE13" s="59">
        <f t="shared" si="12"/>
        <v>0.84660000000000002</v>
      </c>
      <c r="AF13" s="59">
        <f t="shared" si="13"/>
        <v>0.7346020761245674</v>
      </c>
      <c r="AG13" s="59">
        <f t="shared" si="14"/>
        <v>0.59535864978902953</v>
      </c>
      <c r="AH13" s="59">
        <f t="shared" si="15"/>
        <v>0.63560000000000005</v>
      </c>
    </row>
    <row r="14" spans="1:34" s="19" customFormat="1" ht="18" customHeight="1" x14ac:dyDescent="0.3">
      <c r="A14" s="41">
        <v>8303</v>
      </c>
      <c r="B14" s="23" t="s">
        <v>550</v>
      </c>
      <c r="C14" s="14">
        <v>2017</v>
      </c>
      <c r="D14" s="18" t="str">
        <f>VLOOKUP(A14, '전체 목록(n=66)'!C:F, 4, FALSE)</f>
        <v>중국</v>
      </c>
      <c r="E14" s="6">
        <v>150</v>
      </c>
      <c r="F14" s="6" t="s">
        <v>61</v>
      </c>
      <c r="G14" s="6">
        <v>50</v>
      </c>
      <c r="H14" s="6" t="s">
        <v>65</v>
      </c>
      <c r="I14" s="6">
        <v>50</v>
      </c>
      <c r="J14" s="6" t="s">
        <v>325</v>
      </c>
      <c r="K14" s="6" t="s">
        <v>166</v>
      </c>
      <c r="P14" s="19">
        <v>100</v>
      </c>
      <c r="Q14" s="62">
        <v>92.05</v>
      </c>
      <c r="Z14" s="58">
        <f t="shared" si="7"/>
        <v>50</v>
      </c>
      <c r="AA14" s="58">
        <f t="shared" si="8"/>
        <v>3.9750000000000014</v>
      </c>
      <c r="AB14" s="58">
        <f t="shared" si="9"/>
        <v>0</v>
      </c>
      <c r="AC14" s="58">
        <f t="shared" si="10"/>
        <v>46.024999999999999</v>
      </c>
      <c r="AD14" s="59">
        <f t="shared" si="11"/>
        <v>1</v>
      </c>
      <c r="AE14" s="59">
        <f t="shared" si="12"/>
        <v>0.92049999999999998</v>
      </c>
      <c r="AF14" s="59">
        <f t="shared" si="13"/>
        <v>0.92635479388605835</v>
      </c>
      <c r="AG14" s="59">
        <f t="shared" si="14"/>
        <v>1</v>
      </c>
      <c r="AH14" s="59">
        <f t="shared" si="15"/>
        <v>0.96025000000000005</v>
      </c>
    </row>
    <row r="15" spans="1:34" ht="18" customHeight="1" x14ac:dyDescent="0.3">
      <c r="A15" s="41">
        <v>1284</v>
      </c>
      <c r="B15" s="23" t="s">
        <v>556</v>
      </c>
      <c r="C15" s="14">
        <v>2012</v>
      </c>
      <c r="D15" s="18" t="s">
        <v>557</v>
      </c>
      <c r="E15" s="6">
        <f>G15+I15</f>
        <v>1128</v>
      </c>
      <c r="F15" s="6" t="s">
        <v>97</v>
      </c>
      <c r="G15" s="6">
        <v>117</v>
      </c>
      <c r="H15" s="6" t="s">
        <v>98</v>
      </c>
      <c r="I15" s="6">
        <v>1011</v>
      </c>
      <c r="J15" s="23" t="s">
        <v>39</v>
      </c>
      <c r="K15" s="6" t="s">
        <v>88</v>
      </c>
      <c r="L15" s="19"/>
      <c r="M15" s="19"/>
      <c r="N15" s="19"/>
      <c r="O15" s="19"/>
      <c r="P15" s="19">
        <v>39.299999999999997</v>
      </c>
      <c r="Q15" s="19">
        <v>95.8</v>
      </c>
      <c r="R15" s="19">
        <v>67</v>
      </c>
      <c r="S15" s="19">
        <v>90</v>
      </c>
      <c r="T15" s="19"/>
      <c r="U15" s="19"/>
      <c r="V15" s="19"/>
      <c r="W15" s="19"/>
      <c r="X15" s="19"/>
      <c r="Y15" s="19">
        <v>0.72099999999999997</v>
      </c>
      <c r="Z15" s="58">
        <f t="shared" ref="Z15:Z26" si="25">G15*P15/100</f>
        <v>45.980999999999995</v>
      </c>
      <c r="AA15" s="58">
        <f t="shared" si="8"/>
        <v>42.461999999999989</v>
      </c>
      <c r="AB15" s="58">
        <f t="shared" ref="AB15:AB26" si="26">G15-Z15</f>
        <v>71.019000000000005</v>
      </c>
      <c r="AC15" s="58">
        <f t="shared" si="10"/>
        <v>968.53800000000001</v>
      </c>
      <c r="AD15" s="59">
        <f t="shared" si="11"/>
        <v>0.39299999999999996</v>
      </c>
      <c r="AE15" s="59">
        <f t="shared" si="12"/>
        <v>0.95799999999999996</v>
      </c>
      <c r="AF15" s="59">
        <f t="shared" si="13"/>
        <v>0.51989416912587771</v>
      </c>
      <c r="AG15" s="59">
        <f t="shared" si="14"/>
        <v>0.93168339975585757</v>
      </c>
      <c r="AH15" s="59">
        <f t="shared" si="15"/>
        <v>0.89939627659574473</v>
      </c>
    </row>
    <row r="16" spans="1:34" ht="18" customHeight="1" x14ac:dyDescent="0.3">
      <c r="A16" s="41">
        <v>1284</v>
      </c>
      <c r="B16" s="23" t="s">
        <v>556</v>
      </c>
      <c r="C16" s="14">
        <v>2012</v>
      </c>
      <c r="D16" s="18" t="s">
        <v>557</v>
      </c>
      <c r="E16" s="6">
        <v>1128</v>
      </c>
      <c r="F16" s="6" t="s">
        <v>97</v>
      </c>
      <c r="G16" s="6">
        <v>117</v>
      </c>
      <c r="H16" s="6" t="s">
        <v>98</v>
      </c>
      <c r="I16" s="6">
        <v>1011</v>
      </c>
      <c r="J16" s="6" t="s">
        <v>51</v>
      </c>
      <c r="K16" s="6" t="s">
        <v>88</v>
      </c>
      <c r="L16" s="19"/>
      <c r="M16" s="19"/>
      <c r="N16" s="19"/>
      <c r="O16" s="19"/>
      <c r="P16" s="19">
        <v>50</v>
      </c>
      <c r="Q16" s="19">
        <v>93.3</v>
      </c>
      <c r="R16" s="19">
        <v>60</v>
      </c>
      <c r="S16" s="19">
        <v>92</v>
      </c>
      <c r="T16" s="19"/>
      <c r="U16" s="19"/>
      <c r="V16" s="19"/>
      <c r="W16" s="19"/>
      <c r="X16" s="19"/>
      <c r="Y16" s="19">
        <v>0.76200000000000001</v>
      </c>
      <c r="Z16" s="58">
        <f t="shared" si="25"/>
        <v>58.5</v>
      </c>
      <c r="AA16" s="58">
        <f t="shared" si="8"/>
        <v>67.736999999999966</v>
      </c>
      <c r="AB16" s="58">
        <f t="shared" si="26"/>
        <v>58.5</v>
      </c>
      <c r="AC16" s="58">
        <f t="shared" si="10"/>
        <v>943.26300000000003</v>
      </c>
      <c r="AD16" s="59">
        <f t="shared" si="11"/>
        <v>0.5</v>
      </c>
      <c r="AE16" s="59">
        <f t="shared" si="12"/>
        <v>0.93300000000000005</v>
      </c>
      <c r="AF16" s="59">
        <f t="shared" si="13"/>
        <v>0.4634140545165048</v>
      </c>
      <c r="AG16" s="59">
        <f t="shared" si="14"/>
        <v>0.94160295399211191</v>
      </c>
      <c r="AH16" s="59">
        <f t="shared" si="15"/>
        <v>0.88808776595744687</v>
      </c>
    </row>
    <row r="17" spans="1:34" ht="18" customHeight="1" x14ac:dyDescent="0.3">
      <c r="A17" s="41">
        <v>1284</v>
      </c>
      <c r="B17" s="23" t="s">
        <v>556</v>
      </c>
      <c r="C17" s="14">
        <v>2012</v>
      </c>
      <c r="D17" s="18" t="s">
        <v>557</v>
      </c>
      <c r="E17" s="6">
        <v>1128</v>
      </c>
      <c r="F17" s="6" t="s">
        <v>97</v>
      </c>
      <c r="G17" s="6">
        <v>117</v>
      </c>
      <c r="H17" s="6" t="s">
        <v>98</v>
      </c>
      <c r="I17" s="6">
        <v>1011</v>
      </c>
      <c r="J17" s="23" t="s">
        <v>39</v>
      </c>
      <c r="K17" s="6" t="s">
        <v>89</v>
      </c>
      <c r="L17" s="19"/>
      <c r="M17" s="19"/>
      <c r="N17" s="19"/>
      <c r="O17" s="19"/>
      <c r="P17" s="19">
        <v>61.8</v>
      </c>
      <c r="Q17" s="19">
        <v>93.9</v>
      </c>
      <c r="R17" s="19">
        <v>62</v>
      </c>
      <c r="S17" s="19">
        <v>94</v>
      </c>
      <c r="T17" s="19"/>
      <c r="U17" s="19"/>
      <c r="V17" s="19"/>
      <c r="W17" s="19"/>
      <c r="X17" s="19"/>
      <c r="Y17" s="19">
        <v>0.85299999999999998</v>
      </c>
      <c r="Z17" s="58">
        <f t="shared" si="25"/>
        <v>72.305999999999997</v>
      </c>
      <c r="AA17" s="58">
        <f t="shared" si="8"/>
        <v>61.670999999999935</v>
      </c>
      <c r="AB17" s="58">
        <f t="shared" si="26"/>
        <v>44.694000000000003</v>
      </c>
      <c r="AC17" s="58">
        <f t="shared" si="10"/>
        <v>949.32900000000006</v>
      </c>
      <c r="AD17" s="59">
        <f t="shared" si="11"/>
        <v>0.61799999999999999</v>
      </c>
      <c r="AE17" s="59">
        <f t="shared" si="12"/>
        <v>0.93900000000000006</v>
      </c>
      <c r="AF17" s="59">
        <f t="shared" si="13"/>
        <v>0.53968964822320276</v>
      </c>
      <c r="AG17" s="59">
        <f t="shared" si="14"/>
        <v>0.95503725768920844</v>
      </c>
      <c r="AH17" s="59">
        <f t="shared" si="15"/>
        <v>0.90570478723404269</v>
      </c>
    </row>
    <row r="18" spans="1:34" ht="18" customHeight="1" x14ac:dyDescent="0.3">
      <c r="A18" s="41">
        <v>1284</v>
      </c>
      <c r="B18" s="23" t="s">
        <v>556</v>
      </c>
      <c r="C18" s="14">
        <v>2012</v>
      </c>
      <c r="D18" s="18" t="s">
        <v>557</v>
      </c>
      <c r="E18" s="6">
        <v>1128</v>
      </c>
      <c r="F18" s="6" t="s">
        <v>97</v>
      </c>
      <c r="G18" s="6">
        <v>117</v>
      </c>
      <c r="H18" s="6" t="s">
        <v>98</v>
      </c>
      <c r="I18" s="6">
        <v>1011</v>
      </c>
      <c r="J18" s="6" t="s">
        <v>51</v>
      </c>
      <c r="K18" s="6" t="s">
        <v>89</v>
      </c>
      <c r="L18" s="19"/>
      <c r="M18" s="19"/>
      <c r="N18" s="19"/>
      <c r="O18" s="19"/>
      <c r="P18" s="19">
        <v>67.599999999999994</v>
      </c>
      <c r="Q18" s="19">
        <v>94.3</v>
      </c>
      <c r="R18" s="19">
        <v>66</v>
      </c>
      <c r="S18" s="19">
        <v>95</v>
      </c>
      <c r="T18" s="19"/>
      <c r="U18" s="19"/>
      <c r="V18" s="19"/>
      <c r="W18" s="19"/>
      <c r="X18" s="19"/>
      <c r="Y18" s="19">
        <v>0.85099999999999998</v>
      </c>
      <c r="Z18" s="58">
        <f t="shared" si="25"/>
        <v>79.091999999999985</v>
      </c>
      <c r="AA18" s="58">
        <f t="shared" si="8"/>
        <v>57.626999999999953</v>
      </c>
      <c r="AB18" s="58">
        <f t="shared" si="26"/>
        <v>37.908000000000015</v>
      </c>
      <c r="AC18" s="58">
        <f t="shared" si="10"/>
        <v>953.37300000000005</v>
      </c>
      <c r="AD18" s="59">
        <f t="shared" si="11"/>
        <v>0.67599999999999982</v>
      </c>
      <c r="AE18" s="59">
        <f t="shared" si="12"/>
        <v>0.94300000000000006</v>
      </c>
      <c r="AF18" s="59">
        <f t="shared" si="13"/>
        <v>0.57850042788493206</v>
      </c>
      <c r="AG18" s="59">
        <f t="shared" si="14"/>
        <v>0.9617585729979693</v>
      </c>
      <c r="AH18" s="59">
        <f t="shared" si="15"/>
        <v>0.91530585106382989</v>
      </c>
    </row>
    <row r="19" spans="1:34" ht="18" customHeight="1" x14ac:dyDescent="0.3">
      <c r="A19" s="41">
        <v>1284</v>
      </c>
      <c r="B19" s="23" t="s">
        <v>556</v>
      </c>
      <c r="C19" s="14">
        <v>2012</v>
      </c>
      <c r="D19" s="18" t="s">
        <v>557</v>
      </c>
      <c r="E19" s="6">
        <v>1128</v>
      </c>
      <c r="F19" s="6" t="s">
        <v>97</v>
      </c>
      <c r="G19" s="6">
        <v>117</v>
      </c>
      <c r="H19" s="6" t="s">
        <v>98</v>
      </c>
      <c r="I19" s="6">
        <v>1011</v>
      </c>
      <c r="J19" s="23" t="s">
        <v>39</v>
      </c>
      <c r="K19" s="6" t="s">
        <v>90</v>
      </c>
      <c r="L19" s="19"/>
      <c r="M19" s="19"/>
      <c r="N19" s="19"/>
      <c r="O19" s="19"/>
      <c r="P19" s="19">
        <v>65.8</v>
      </c>
      <c r="Q19" s="19">
        <v>96.3</v>
      </c>
      <c r="R19" s="19">
        <v>74</v>
      </c>
      <c r="S19" s="19">
        <v>94</v>
      </c>
      <c r="T19" s="19"/>
      <c r="U19" s="19"/>
      <c r="V19" s="19"/>
      <c r="W19" s="19"/>
      <c r="X19" s="19"/>
      <c r="Y19" s="19">
        <v>0.89600000000000002</v>
      </c>
      <c r="Z19" s="58">
        <f t="shared" si="25"/>
        <v>76.98599999999999</v>
      </c>
      <c r="AA19" s="58">
        <f t="shared" si="8"/>
        <v>37.406999999999925</v>
      </c>
      <c r="AB19" s="58">
        <f t="shared" si="26"/>
        <v>40.01400000000001</v>
      </c>
      <c r="AC19" s="58">
        <f t="shared" si="10"/>
        <v>973.59300000000007</v>
      </c>
      <c r="AD19" s="59">
        <f t="shared" si="11"/>
        <v>0.65799999999999992</v>
      </c>
      <c r="AE19" s="59">
        <f t="shared" si="12"/>
        <v>0.96300000000000008</v>
      </c>
      <c r="AF19" s="59">
        <f t="shared" si="13"/>
        <v>0.67299572526290985</v>
      </c>
      <c r="AG19" s="59">
        <f t="shared" si="14"/>
        <v>0.96052316134359761</v>
      </c>
      <c r="AH19" s="59">
        <f t="shared" si="15"/>
        <v>0.93136436170212777</v>
      </c>
    </row>
    <row r="20" spans="1:34" ht="18" customHeight="1" x14ac:dyDescent="0.3">
      <c r="A20" s="41">
        <v>1284</v>
      </c>
      <c r="B20" s="23" t="s">
        <v>556</v>
      </c>
      <c r="C20" s="14">
        <v>2012</v>
      </c>
      <c r="D20" s="18" t="s">
        <v>557</v>
      </c>
      <c r="E20" s="6">
        <v>1128</v>
      </c>
      <c r="F20" s="6" t="s">
        <v>97</v>
      </c>
      <c r="G20" s="6">
        <v>117</v>
      </c>
      <c r="H20" s="6" t="s">
        <v>98</v>
      </c>
      <c r="I20" s="6">
        <v>1011</v>
      </c>
      <c r="J20" s="6" t="s">
        <v>51</v>
      </c>
      <c r="K20" s="6" t="s">
        <v>90</v>
      </c>
      <c r="L20" s="19"/>
      <c r="M20" s="19"/>
      <c r="N20" s="19"/>
      <c r="O20" s="19"/>
      <c r="P20" s="19">
        <v>81</v>
      </c>
      <c r="Q20" s="19">
        <v>94.2</v>
      </c>
      <c r="R20" s="19">
        <v>70</v>
      </c>
      <c r="S20" s="19">
        <v>97</v>
      </c>
      <c r="T20" s="19"/>
      <c r="U20" s="19"/>
      <c r="V20" s="19"/>
      <c r="W20" s="19"/>
      <c r="X20" s="19"/>
      <c r="Y20" s="19">
        <v>0.90400000000000003</v>
      </c>
      <c r="Z20" s="58">
        <f t="shared" si="25"/>
        <v>94.77</v>
      </c>
      <c r="AA20" s="58">
        <f t="shared" si="8"/>
        <v>58.638000000000034</v>
      </c>
      <c r="AB20" s="58">
        <f t="shared" si="26"/>
        <v>22.230000000000004</v>
      </c>
      <c r="AC20" s="58">
        <f t="shared" si="10"/>
        <v>952.36199999999997</v>
      </c>
      <c r="AD20" s="59">
        <f t="shared" si="11"/>
        <v>0.80999999999999994</v>
      </c>
      <c r="AE20" s="59">
        <f t="shared" si="12"/>
        <v>0.94199999999999995</v>
      </c>
      <c r="AF20" s="59">
        <f t="shared" si="13"/>
        <v>0.61776439299123898</v>
      </c>
      <c r="AG20" s="59">
        <f t="shared" si="14"/>
        <v>0.97719045508274227</v>
      </c>
      <c r="AH20" s="59">
        <f t="shared" si="15"/>
        <v>0.92830851063829789</v>
      </c>
    </row>
    <row r="21" spans="1:34" ht="18" customHeight="1" x14ac:dyDescent="0.3">
      <c r="A21" s="41">
        <v>1284</v>
      </c>
      <c r="B21" s="23" t="s">
        <v>556</v>
      </c>
      <c r="C21" s="14">
        <v>2012</v>
      </c>
      <c r="D21" s="18" t="s">
        <v>557</v>
      </c>
      <c r="E21" s="6">
        <v>1128</v>
      </c>
      <c r="F21" s="6" t="s">
        <v>97</v>
      </c>
      <c r="G21" s="6">
        <v>117</v>
      </c>
      <c r="H21" s="6" t="s">
        <v>98</v>
      </c>
      <c r="I21" s="6">
        <v>1011</v>
      </c>
      <c r="J21" s="23" t="s">
        <v>39</v>
      </c>
      <c r="K21" s="6" t="s">
        <v>91</v>
      </c>
      <c r="L21" s="19"/>
      <c r="M21" s="19"/>
      <c r="N21" s="19"/>
      <c r="O21" s="19"/>
      <c r="P21" s="19">
        <v>50.7</v>
      </c>
      <c r="Q21" s="19">
        <v>95.8</v>
      </c>
      <c r="R21" s="19">
        <v>68</v>
      </c>
      <c r="S21" s="19">
        <v>94</v>
      </c>
      <c r="T21" s="19"/>
      <c r="U21" s="19"/>
      <c r="V21" s="19"/>
      <c r="W21" s="19"/>
      <c r="X21" s="19"/>
      <c r="Y21" s="19">
        <v>0.89500000000000002</v>
      </c>
      <c r="Z21" s="58">
        <f t="shared" si="25"/>
        <v>59.319000000000003</v>
      </c>
      <c r="AA21" s="58">
        <f t="shared" si="8"/>
        <v>42.461999999999989</v>
      </c>
      <c r="AB21" s="58">
        <f t="shared" si="26"/>
        <v>57.680999999999997</v>
      </c>
      <c r="AC21" s="58">
        <f t="shared" si="10"/>
        <v>968.53800000000001</v>
      </c>
      <c r="AD21" s="59">
        <f t="shared" si="11"/>
        <v>0.50700000000000001</v>
      </c>
      <c r="AE21" s="59">
        <f t="shared" si="12"/>
        <v>0.95799999999999996</v>
      </c>
      <c r="AF21" s="59">
        <f t="shared" si="13"/>
        <v>0.5828101512070033</v>
      </c>
      <c r="AG21" s="59">
        <f t="shared" si="14"/>
        <v>0.94379269921917253</v>
      </c>
      <c r="AH21" s="59">
        <f t="shared" si="15"/>
        <v>0.91122074468085101</v>
      </c>
    </row>
    <row r="22" spans="1:34" ht="18" customHeight="1" x14ac:dyDescent="0.3">
      <c r="A22" s="41">
        <v>1284</v>
      </c>
      <c r="B22" s="23" t="s">
        <v>556</v>
      </c>
      <c r="C22" s="14">
        <v>2012</v>
      </c>
      <c r="D22" s="18" t="s">
        <v>557</v>
      </c>
      <c r="E22" s="6">
        <v>1128</v>
      </c>
      <c r="F22" s="6" t="s">
        <v>97</v>
      </c>
      <c r="G22" s="6">
        <v>117</v>
      </c>
      <c r="H22" s="6" t="s">
        <v>98</v>
      </c>
      <c r="I22" s="6">
        <v>1011</v>
      </c>
      <c r="J22" s="6" t="s">
        <v>51</v>
      </c>
      <c r="K22" s="6" t="s">
        <v>91</v>
      </c>
      <c r="L22" s="19"/>
      <c r="M22" s="19"/>
      <c r="N22" s="19"/>
      <c r="O22" s="19"/>
      <c r="P22" s="19">
        <v>95.8</v>
      </c>
      <c r="Q22" s="19">
        <v>94.3</v>
      </c>
      <c r="R22" s="19">
        <v>71</v>
      </c>
      <c r="S22" s="19">
        <v>99</v>
      </c>
      <c r="T22" s="19"/>
      <c r="U22" s="19"/>
      <c r="V22" s="19"/>
      <c r="W22" s="19"/>
      <c r="X22" s="19"/>
      <c r="Y22" s="19">
        <v>0.97799999999999998</v>
      </c>
      <c r="Z22" s="58">
        <f t="shared" si="25"/>
        <v>112.086</v>
      </c>
      <c r="AA22" s="58">
        <f t="shared" si="8"/>
        <v>57.626999999999953</v>
      </c>
      <c r="AB22" s="58">
        <f t="shared" si="26"/>
        <v>4.9140000000000015</v>
      </c>
      <c r="AC22" s="58">
        <f t="shared" si="10"/>
        <v>953.37300000000005</v>
      </c>
      <c r="AD22" s="59">
        <f t="shared" si="11"/>
        <v>0.95799999999999996</v>
      </c>
      <c r="AE22" s="59">
        <f t="shared" si="12"/>
        <v>0.94300000000000006</v>
      </c>
      <c r="AF22" s="59">
        <f t="shared" si="13"/>
        <v>0.66044439730604032</v>
      </c>
      <c r="AG22" s="59">
        <f t="shared" si="14"/>
        <v>0.99487209990326486</v>
      </c>
      <c r="AH22" s="59">
        <f t="shared" si="15"/>
        <v>0.94455585106382989</v>
      </c>
    </row>
    <row r="23" spans="1:34" ht="18" customHeight="1" x14ac:dyDescent="0.3">
      <c r="A23" s="41">
        <v>1284</v>
      </c>
      <c r="B23" s="23" t="s">
        <v>556</v>
      </c>
      <c r="C23" s="14">
        <v>2012</v>
      </c>
      <c r="D23" s="18" t="s">
        <v>557</v>
      </c>
      <c r="E23" s="6">
        <v>1128</v>
      </c>
      <c r="F23" s="6" t="s">
        <v>97</v>
      </c>
      <c r="G23" s="6">
        <v>117</v>
      </c>
      <c r="H23" s="6" t="s">
        <v>98</v>
      </c>
      <c r="I23" s="6">
        <v>1011</v>
      </c>
      <c r="J23" s="23" t="s">
        <v>39</v>
      </c>
      <c r="K23" s="6" t="s">
        <v>92</v>
      </c>
      <c r="L23" s="19"/>
      <c r="M23" s="19"/>
      <c r="N23" s="19"/>
      <c r="O23" s="19"/>
      <c r="P23" s="19">
        <v>38.700000000000003</v>
      </c>
      <c r="Q23" s="19">
        <v>95.9</v>
      </c>
      <c r="R23" s="19">
        <v>67</v>
      </c>
      <c r="S23" s="19">
        <v>88</v>
      </c>
      <c r="T23" s="19"/>
      <c r="U23" s="19"/>
      <c r="V23" s="19"/>
      <c r="W23" s="19"/>
      <c r="X23" s="19"/>
      <c r="Y23" s="19">
        <v>0.76</v>
      </c>
      <c r="Z23" s="58">
        <f t="shared" si="25"/>
        <v>45.279000000000003</v>
      </c>
      <c r="AA23" s="58">
        <f t="shared" si="8"/>
        <v>41.450999999999908</v>
      </c>
      <c r="AB23" s="58">
        <f t="shared" si="26"/>
        <v>71.721000000000004</v>
      </c>
      <c r="AC23" s="58">
        <f t="shared" si="10"/>
        <v>969.54900000000009</v>
      </c>
      <c r="AD23" s="59">
        <f t="shared" si="11"/>
        <v>0.38700000000000001</v>
      </c>
      <c r="AE23" s="59">
        <f t="shared" si="12"/>
        <v>0.95900000000000007</v>
      </c>
      <c r="AF23" s="59">
        <f t="shared" si="13"/>
        <v>0.52206848841231468</v>
      </c>
      <c r="AG23" s="59">
        <f t="shared" si="14"/>
        <v>0.93112161110951064</v>
      </c>
      <c r="AH23" s="59">
        <f t="shared" si="15"/>
        <v>0.89967021276595749</v>
      </c>
    </row>
    <row r="24" spans="1:34" ht="18" customHeight="1" x14ac:dyDescent="0.3">
      <c r="A24" s="41">
        <v>1284</v>
      </c>
      <c r="B24" s="23" t="s">
        <v>556</v>
      </c>
      <c r="C24" s="14">
        <v>2012</v>
      </c>
      <c r="D24" s="18" t="s">
        <v>557</v>
      </c>
      <c r="E24" s="6">
        <v>1128</v>
      </c>
      <c r="F24" s="6" t="s">
        <v>97</v>
      </c>
      <c r="G24" s="6">
        <v>117</v>
      </c>
      <c r="H24" s="6" t="s">
        <v>98</v>
      </c>
      <c r="I24" s="6">
        <v>1011</v>
      </c>
      <c r="J24" s="6" t="s">
        <v>51</v>
      </c>
      <c r="K24" s="6" t="s">
        <v>92</v>
      </c>
      <c r="L24" s="19"/>
      <c r="M24" s="19"/>
      <c r="N24" s="19"/>
      <c r="O24" s="19"/>
      <c r="P24" s="19">
        <v>97.3</v>
      </c>
      <c r="Q24" s="19">
        <v>94.7</v>
      </c>
      <c r="R24" s="19">
        <v>79</v>
      </c>
      <c r="S24" s="19">
        <v>99</v>
      </c>
      <c r="T24" s="19"/>
      <c r="U24" s="19"/>
      <c r="V24" s="19"/>
      <c r="W24" s="19"/>
      <c r="X24" s="19"/>
      <c r="Y24" s="19">
        <v>0.94399999999999995</v>
      </c>
      <c r="Z24" s="58">
        <f t="shared" si="25"/>
        <v>113.84100000000001</v>
      </c>
      <c r="AA24" s="58">
        <f t="shared" si="8"/>
        <v>53.583000000000084</v>
      </c>
      <c r="AB24" s="58">
        <f t="shared" si="26"/>
        <v>3.1589999999999918</v>
      </c>
      <c r="AC24" s="58">
        <f t="shared" si="10"/>
        <v>957.41699999999992</v>
      </c>
      <c r="AD24" s="59">
        <f t="shared" si="11"/>
        <v>0.97300000000000009</v>
      </c>
      <c r="AE24" s="59">
        <f t="shared" si="12"/>
        <v>0.94699999999999995</v>
      </c>
      <c r="AF24" s="59">
        <f t="shared" si="13"/>
        <v>0.67995627866972441</v>
      </c>
      <c r="AG24" s="59">
        <f t="shared" si="14"/>
        <v>0.99671134819108531</v>
      </c>
      <c r="AH24" s="59">
        <f t="shared" si="15"/>
        <v>0.94969680851063809</v>
      </c>
    </row>
    <row r="25" spans="1:34" ht="18" customHeight="1" x14ac:dyDescent="0.3">
      <c r="A25" s="41">
        <v>1284</v>
      </c>
      <c r="B25" s="23" t="s">
        <v>556</v>
      </c>
      <c r="C25" s="14">
        <v>2012</v>
      </c>
      <c r="D25" s="18" t="s">
        <v>557</v>
      </c>
      <c r="E25" s="6">
        <v>1128</v>
      </c>
      <c r="F25" s="6" t="s">
        <v>97</v>
      </c>
      <c r="G25" s="6">
        <v>117</v>
      </c>
      <c r="H25" s="6" t="s">
        <v>98</v>
      </c>
      <c r="I25" s="6">
        <v>1011</v>
      </c>
      <c r="J25" s="23" t="s">
        <v>39</v>
      </c>
      <c r="K25" s="6" t="s">
        <v>93</v>
      </c>
      <c r="L25" s="19"/>
      <c r="M25" s="19"/>
      <c r="N25" s="19"/>
      <c r="O25" s="19"/>
      <c r="P25" s="19">
        <v>21.4</v>
      </c>
      <c r="Q25" s="19">
        <v>96.9</v>
      </c>
      <c r="R25" s="19">
        <v>41</v>
      </c>
      <c r="S25" s="19">
        <v>92</v>
      </c>
      <c r="T25" s="19"/>
      <c r="U25" s="19"/>
      <c r="V25" s="19"/>
      <c r="W25" s="19"/>
      <c r="X25" s="19"/>
      <c r="Y25" s="19">
        <v>0.752</v>
      </c>
      <c r="Z25" s="58">
        <f t="shared" si="25"/>
        <v>25.037999999999997</v>
      </c>
      <c r="AA25" s="58">
        <f t="shared" si="8"/>
        <v>31.340999999999894</v>
      </c>
      <c r="AB25" s="58">
        <f t="shared" si="26"/>
        <v>91.962000000000003</v>
      </c>
      <c r="AC25" s="58">
        <f t="shared" si="10"/>
        <v>979.65900000000011</v>
      </c>
      <c r="AD25" s="59">
        <f t="shared" si="11"/>
        <v>0.21399999999999997</v>
      </c>
      <c r="AE25" s="59">
        <f t="shared" si="12"/>
        <v>0.96900000000000008</v>
      </c>
      <c r="AF25" s="59">
        <f t="shared" si="13"/>
        <v>0.44410152716437051</v>
      </c>
      <c r="AG25" s="59">
        <f t="shared" si="14"/>
        <v>0.91418421251543225</v>
      </c>
      <c r="AH25" s="59">
        <f t="shared" si="15"/>
        <v>0.89068882978723418</v>
      </c>
    </row>
    <row r="26" spans="1:34" ht="18" customHeight="1" x14ac:dyDescent="0.3">
      <c r="A26" s="41">
        <v>1284</v>
      </c>
      <c r="B26" s="23" t="s">
        <v>556</v>
      </c>
      <c r="C26" s="14">
        <v>2012</v>
      </c>
      <c r="D26" s="18" t="s">
        <v>557</v>
      </c>
      <c r="E26" s="6">
        <v>1128</v>
      </c>
      <c r="F26" s="6" t="s">
        <v>97</v>
      </c>
      <c r="G26" s="6">
        <v>117</v>
      </c>
      <c r="H26" s="6" t="s">
        <v>98</v>
      </c>
      <c r="I26" s="6">
        <v>1011</v>
      </c>
      <c r="J26" s="6" t="s">
        <v>51</v>
      </c>
      <c r="K26" s="6" t="s">
        <v>93</v>
      </c>
      <c r="L26" s="19"/>
      <c r="M26" s="19"/>
      <c r="N26" s="19"/>
      <c r="O26" s="19"/>
      <c r="P26" s="19">
        <v>88.1</v>
      </c>
      <c r="Q26" s="19">
        <v>94.3</v>
      </c>
      <c r="R26" s="19">
        <v>61</v>
      </c>
      <c r="S26" s="19">
        <v>99</v>
      </c>
      <c r="T26" s="19"/>
      <c r="U26" s="19"/>
      <c r="V26" s="19"/>
      <c r="W26" s="19"/>
      <c r="X26" s="19"/>
      <c r="Y26" s="19">
        <v>0.94399999999999995</v>
      </c>
      <c r="Z26" s="58">
        <f t="shared" si="25"/>
        <v>103.07699999999998</v>
      </c>
      <c r="AA26" s="58">
        <f t="shared" si="8"/>
        <v>57.626999999999953</v>
      </c>
      <c r="AB26" s="58">
        <f t="shared" si="26"/>
        <v>13.923000000000016</v>
      </c>
      <c r="AC26" s="58">
        <f t="shared" si="10"/>
        <v>953.37300000000005</v>
      </c>
      <c r="AD26" s="59">
        <f t="shared" si="11"/>
        <v>0.88099999999999989</v>
      </c>
      <c r="AE26" s="59">
        <f t="shared" si="12"/>
        <v>0.94300000000000006</v>
      </c>
      <c r="AF26" s="59">
        <f t="shared" si="13"/>
        <v>0.64140905017921157</v>
      </c>
      <c r="AG26" s="59">
        <f t="shared" si="14"/>
        <v>0.98560626736800316</v>
      </c>
      <c r="AH26" s="59">
        <f t="shared" si="15"/>
        <v>0.93656914893617027</v>
      </c>
    </row>
    <row r="27" spans="1:34" ht="18" customHeight="1" x14ac:dyDescent="0.3">
      <c r="A27" s="41">
        <v>1284</v>
      </c>
      <c r="B27" s="23" t="s">
        <v>556</v>
      </c>
      <c r="C27" s="14">
        <v>2012</v>
      </c>
      <c r="D27" s="18" t="str">
        <f>VLOOKUP(A27, '전체 목록(n=66)'!C:F, 4, FALSE)</f>
        <v>아일랜드</v>
      </c>
      <c r="E27" s="6">
        <v>1128</v>
      </c>
      <c r="F27" s="6" t="s">
        <v>97</v>
      </c>
      <c r="G27" s="6">
        <v>117</v>
      </c>
      <c r="H27" s="6" t="s">
        <v>98</v>
      </c>
      <c r="I27" s="6">
        <v>1011</v>
      </c>
      <c r="J27" s="6" t="s">
        <v>325</v>
      </c>
      <c r="K27" s="6" t="s">
        <v>88</v>
      </c>
      <c r="L27" s="19"/>
      <c r="M27" s="19"/>
      <c r="N27" s="19"/>
      <c r="O27" s="19"/>
      <c r="P27" s="19">
        <v>57.1</v>
      </c>
      <c r="Q27" s="19">
        <v>90.3</v>
      </c>
      <c r="R27" s="19">
        <v>53</v>
      </c>
      <c r="S27" s="19">
        <v>93</v>
      </c>
      <c r="T27" s="19"/>
      <c r="U27" s="19"/>
      <c r="V27" s="19"/>
      <c r="W27" s="19"/>
      <c r="X27" s="19"/>
      <c r="Y27" s="19"/>
      <c r="Z27" s="58">
        <f t="shared" si="7"/>
        <v>66.807000000000002</v>
      </c>
      <c r="AA27" s="58">
        <f t="shared" si="8"/>
        <v>98.067000000000007</v>
      </c>
      <c r="AB27" s="58">
        <f t="shared" si="9"/>
        <v>50.192999999999998</v>
      </c>
      <c r="AC27" s="58">
        <f t="shared" si="10"/>
        <v>912.93299999999999</v>
      </c>
      <c r="AD27" s="59">
        <f t="shared" si="11"/>
        <v>0.57100000000000006</v>
      </c>
      <c r="AE27" s="59">
        <f t="shared" si="12"/>
        <v>0.90300000000000002</v>
      </c>
      <c r="AF27" s="59">
        <f t="shared" si="13"/>
        <v>0.40520033480112083</v>
      </c>
      <c r="AG27" s="59">
        <f t="shared" si="14"/>
        <v>0.94788532341562792</v>
      </c>
      <c r="AH27" s="59">
        <f t="shared" si="15"/>
        <v>0.86856382978723401</v>
      </c>
    </row>
    <row r="28" spans="1:34" ht="18" customHeight="1" x14ac:dyDescent="0.3">
      <c r="A28" s="41">
        <v>1284</v>
      </c>
      <c r="B28" s="23" t="s">
        <v>556</v>
      </c>
      <c r="C28" s="14">
        <v>2012</v>
      </c>
      <c r="D28" s="18" t="str">
        <f>VLOOKUP(A28, '전체 목록(n=66)'!C:F, 4, FALSE)</f>
        <v>아일랜드</v>
      </c>
      <c r="E28" s="6">
        <v>1128</v>
      </c>
      <c r="F28" s="6" t="s">
        <v>97</v>
      </c>
      <c r="G28" s="6">
        <v>117</v>
      </c>
      <c r="H28" s="6" t="s">
        <v>98</v>
      </c>
      <c r="I28" s="6">
        <v>1011</v>
      </c>
      <c r="J28" s="6" t="s">
        <v>325</v>
      </c>
      <c r="K28" s="6" t="s">
        <v>89</v>
      </c>
      <c r="L28" s="19"/>
      <c r="M28" s="19"/>
      <c r="N28" s="19"/>
      <c r="O28" s="19"/>
      <c r="P28" s="19">
        <v>79.400000000000006</v>
      </c>
      <c r="Q28" s="19">
        <v>90.1</v>
      </c>
      <c r="R28" s="19">
        <v>56</v>
      </c>
      <c r="S28" s="19">
        <v>96</v>
      </c>
      <c r="T28" s="19"/>
      <c r="U28" s="19"/>
      <c r="V28" s="19"/>
      <c r="W28" s="19"/>
      <c r="X28" s="19"/>
      <c r="Y28" s="19"/>
      <c r="Z28" s="58">
        <f t="shared" si="7"/>
        <v>92.89800000000001</v>
      </c>
      <c r="AA28" s="58">
        <f t="shared" si="8"/>
        <v>100.08900000000006</v>
      </c>
      <c r="AB28" s="58">
        <f t="shared" si="9"/>
        <v>24.10199999999999</v>
      </c>
      <c r="AC28" s="58">
        <f t="shared" si="10"/>
        <v>910.91099999999994</v>
      </c>
      <c r="AD28" s="59">
        <f t="shared" si="11"/>
        <v>0.79400000000000004</v>
      </c>
      <c r="AE28" s="59">
        <f t="shared" si="12"/>
        <v>0.90099999999999991</v>
      </c>
      <c r="AF28" s="59">
        <f t="shared" si="13"/>
        <v>0.48136921139765876</v>
      </c>
      <c r="AG28" s="59">
        <f t="shared" si="14"/>
        <v>0.97422281829236601</v>
      </c>
      <c r="AH28" s="59">
        <f t="shared" si="15"/>
        <v>0.88990159574468086</v>
      </c>
    </row>
    <row r="29" spans="1:34" ht="18" customHeight="1" x14ac:dyDescent="0.3">
      <c r="A29" s="41">
        <v>1284</v>
      </c>
      <c r="B29" s="23" t="s">
        <v>556</v>
      </c>
      <c r="C29" s="14">
        <v>2012</v>
      </c>
      <c r="D29" s="18" t="str">
        <f>VLOOKUP(A29, '전체 목록(n=66)'!C:F, 4, FALSE)</f>
        <v>아일랜드</v>
      </c>
      <c r="E29" s="6">
        <v>1128</v>
      </c>
      <c r="F29" s="6" t="s">
        <v>97</v>
      </c>
      <c r="G29" s="6">
        <v>117</v>
      </c>
      <c r="H29" s="6" t="s">
        <v>98</v>
      </c>
      <c r="I29" s="6">
        <v>1011</v>
      </c>
      <c r="J29" s="6" t="s">
        <v>325</v>
      </c>
      <c r="K29" s="6" t="s">
        <v>90</v>
      </c>
      <c r="L29" s="19"/>
      <c r="M29" s="19"/>
      <c r="N29" s="19"/>
      <c r="O29" s="19"/>
      <c r="P29" s="19">
        <v>88.6</v>
      </c>
      <c r="Q29" s="19">
        <v>91.9</v>
      </c>
      <c r="R29" s="19">
        <v>64</v>
      </c>
      <c r="S29" s="19">
        <v>98</v>
      </c>
      <c r="T29" s="19"/>
      <c r="U29" s="19"/>
      <c r="V29" s="19"/>
      <c r="W29" s="19"/>
      <c r="X29" s="19"/>
      <c r="Y29" s="19"/>
      <c r="Z29" s="58">
        <f t="shared" si="7"/>
        <v>103.66199999999999</v>
      </c>
      <c r="AA29" s="58">
        <f t="shared" si="8"/>
        <v>81.890999999999963</v>
      </c>
      <c r="AB29" s="58">
        <f t="shared" si="9"/>
        <v>13.338000000000008</v>
      </c>
      <c r="AC29" s="58">
        <f t="shared" si="10"/>
        <v>929.10900000000004</v>
      </c>
      <c r="AD29" s="59">
        <f t="shared" si="11"/>
        <v>0.8859999999999999</v>
      </c>
      <c r="AE29" s="59">
        <f t="shared" si="12"/>
        <v>0.91900000000000004</v>
      </c>
      <c r="AF29" s="59">
        <f t="shared" si="13"/>
        <v>0.55866517922103132</v>
      </c>
      <c r="AG29" s="59">
        <f t="shared" si="14"/>
        <v>0.98584748001744393</v>
      </c>
      <c r="AH29" s="59">
        <f t="shared" si="15"/>
        <v>0.91557712765957444</v>
      </c>
    </row>
    <row r="30" spans="1:34" ht="18" customHeight="1" x14ac:dyDescent="0.3">
      <c r="A30" s="41">
        <v>1284</v>
      </c>
      <c r="B30" s="23" t="s">
        <v>556</v>
      </c>
      <c r="C30" s="14">
        <v>2012</v>
      </c>
      <c r="D30" s="18" t="str">
        <f>VLOOKUP(A30, '전체 목록(n=66)'!C:F, 4, FALSE)</f>
        <v>아일랜드</v>
      </c>
      <c r="E30" s="6">
        <v>1128</v>
      </c>
      <c r="F30" s="6" t="s">
        <v>97</v>
      </c>
      <c r="G30" s="6">
        <v>117</v>
      </c>
      <c r="H30" s="6" t="s">
        <v>98</v>
      </c>
      <c r="I30" s="6">
        <v>1011</v>
      </c>
      <c r="J30" s="6" t="s">
        <v>325</v>
      </c>
      <c r="K30" s="6" t="s">
        <v>91</v>
      </c>
      <c r="L30" s="19"/>
      <c r="M30" s="19"/>
      <c r="N30" s="19"/>
      <c r="O30" s="19"/>
      <c r="P30" s="19">
        <v>98.6</v>
      </c>
      <c r="Q30" s="19">
        <v>91.1</v>
      </c>
      <c r="R30" s="19">
        <v>65</v>
      </c>
      <c r="S30" s="19">
        <v>100</v>
      </c>
      <c r="T30" s="19"/>
      <c r="U30" s="19"/>
      <c r="V30" s="19"/>
      <c r="W30" s="19"/>
      <c r="X30" s="19"/>
      <c r="Y30" s="19"/>
      <c r="Z30" s="58">
        <f t="shared" si="7"/>
        <v>115.36199999999999</v>
      </c>
      <c r="AA30" s="58">
        <f t="shared" si="8"/>
        <v>89.979000000000042</v>
      </c>
      <c r="AB30" s="58">
        <f t="shared" si="9"/>
        <v>1.6380000000000052</v>
      </c>
      <c r="AC30" s="58">
        <f t="shared" si="10"/>
        <v>921.02099999999996</v>
      </c>
      <c r="AD30" s="59">
        <f t="shared" si="11"/>
        <v>0.98599999999999999</v>
      </c>
      <c r="AE30" s="59">
        <f t="shared" si="12"/>
        <v>0.91099999999999992</v>
      </c>
      <c r="AF30" s="59">
        <f t="shared" si="13"/>
        <v>0.56180694551989119</v>
      </c>
      <c r="AG30" s="59">
        <f t="shared" si="14"/>
        <v>0.99822469623121868</v>
      </c>
      <c r="AH30" s="59">
        <f t="shared" si="15"/>
        <v>0.91877925531914895</v>
      </c>
    </row>
    <row r="31" spans="1:34" ht="18" customHeight="1" x14ac:dyDescent="0.3">
      <c r="A31" s="41">
        <v>1284</v>
      </c>
      <c r="B31" s="23" t="s">
        <v>556</v>
      </c>
      <c r="C31" s="14">
        <v>2012</v>
      </c>
      <c r="D31" s="18" t="str">
        <f>VLOOKUP(A31, '전체 목록(n=66)'!C:F, 4, FALSE)</f>
        <v>아일랜드</v>
      </c>
      <c r="E31" s="6">
        <v>1128</v>
      </c>
      <c r="F31" s="6" t="s">
        <v>97</v>
      </c>
      <c r="G31" s="6">
        <v>117</v>
      </c>
      <c r="H31" s="6" t="s">
        <v>98</v>
      </c>
      <c r="I31" s="6">
        <v>1011</v>
      </c>
      <c r="J31" s="6" t="s">
        <v>325</v>
      </c>
      <c r="K31" s="6" t="s">
        <v>92</v>
      </c>
      <c r="L31" s="19"/>
      <c r="M31" s="19"/>
      <c r="N31" s="19"/>
      <c r="O31" s="19"/>
      <c r="P31" s="19">
        <v>100</v>
      </c>
      <c r="Q31" s="19">
        <v>91.4</v>
      </c>
      <c r="R31" s="19">
        <v>71</v>
      </c>
      <c r="S31" s="19">
        <v>100</v>
      </c>
      <c r="T31" s="19"/>
      <c r="U31" s="19"/>
      <c r="V31" s="19"/>
      <c r="W31" s="19"/>
      <c r="X31" s="19"/>
      <c r="Y31" s="19"/>
      <c r="Z31" s="58">
        <f t="shared" si="7"/>
        <v>117</v>
      </c>
      <c r="AA31" s="58">
        <f t="shared" si="8"/>
        <v>86.945999999999913</v>
      </c>
      <c r="AB31" s="58">
        <f t="shared" si="9"/>
        <v>0</v>
      </c>
      <c r="AC31" s="58">
        <f t="shared" si="10"/>
        <v>924.05400000000009</v>
      </c>
      <c r="AD31" s="59">
        <f t="shared" si="11"/>
        <v>1</v>
      </c>
      <c r="AE31" s="59">
        <f t="shared" si="12"/>
        <v>0.91400000000000003</v>
      </c>
      <c r="AF31" s="59">
        <f t="shared" si="13"/>
        <v>0.57368126857109258</v>
      </c>
      <c r="AG31" s="59">
        <f t="shared" si="14"/>
        <v>1</v>
      </c>
      <c r="AH31" s="59">
        <f t="shared" si="15"/>
        <v>0.92292021276595748</v>
      </c>
    </row>
    <row r="32" spans="1:34" ht="18" customHeight="1" x14ac:dyDescent="0.3">
      <c r="A32" s="41">
        <v>1284</v>
      </c>
      <c r="B32" s="23" t="s">
        <v>556</v>
      </c>
      <c r="C32" s="14">
        <v>2012</v>
      </c>
      <c r="D32" s="18" t="str">
        <f>VLOOKUP(A32, '전체 목록(n=66)'!C:F, 4, FALSE)</f>
        <v>아일랜드</v>
      </c>
      <c r="E32" s="6">
        <v>1128</v>
      </c>
      <c r="F32" s="6" t="s">
        <v>97</v>
      </c>
      <c r="G32" s="6">
        <v>117</v>
      </c>
      <c r="H32" s="6" t="s">
        <v>98</v>
      </c>
      <c r="I32" s="6">
        <v>1011</v>
      </c>
      <c r="J32" s="6" t="s">
        <v>325</v>
      </c>
      <c r="K32" s="6" t="s">
        <v>93</v>
      </c>
      <c r="L32" s="19"/>
      <c r="M32" s="19"/>
      <c r="N32" s="19"/>
      <c r="O32" s="19"/>
      <c r="P32" s="19">
        <v>88.1</v>
      </c>
      <c r="Q32" s="19">
        <v>92</v>
      </c>
      <c r="R32" s="19">
        <v>53</v>
      </c>
      <c r="S32" s="19">
        <v>99</v>
      </c>
      <c r="T32" s="19"/>
      <c r="U32" s="19"/>
      <c r="V32" s="19"/>
      <c r="W32" s="19"/>
      <c r="X32" s="19"/>
      <c r="Y32" s="19"/>
      <c r="Z32" s="58">
        <f t="shared" si="7"/>
        <v>103.07699999999998</v>
      </c>
      <c r="AA32" s="58">
        <f t="shared" si="8"/>
        <v>80.88</v>
      </c>
      <c r="AB32" s="58">
        <f t="shared" si="9"/>
        <v>13.923000000000016</v>
      </c>
      <c r="AC32" s="58">
        <f t="shared" si="10"/>
        <v>930.12</v>
      </c>
      <c r="AD32" s="59">
        <f t="shared" si="11"/>
        <v>0.88099999999999989</v>
      </c>
      <c r="AE32" s="59">
        <f t="shared" si="12"/>
        <v>0.92</v>
      </c>
      <c r="AF32" s="59">
        <f t="shared" si="13"/>
        <v>0.56033203411666854</v>
      </c>
      <c r="AG32" s="59">
        <f t="shared" si="14"/>
        <v>0.98525173111817999</v>
      </c>
      <c r="AH32" s="59">
        <f t="shared" si="15"/>
        <v>0.91595478723404244</v>
      </c>
    </row>
    <row r="33" spans="1:34" ht="18" customHeight="1" x14ac:dyDescent="0.3">
      <c r="A33" s="41">
        <v>1299</v>
      </c>
      <c r="B33" s="23" t="s">
        <v>600</v>
      </c>
      <c r="C33" s="14">
        <v>2011</v>
      </c>
      <c r="D33" s="18" t="s">
        <v>569</v>
      </c>
      <c r="E33" s="6">
        <v>80</v>
      </c>
      <c r="F33" s="6" t="s">
        <v>106</v>
      </c>
      <c r="G33" s="6">
        <v>34</v>
      </c>
      <c r="H33" s="6" t="s">
        <v>107</v>
      </c>
      <c r="I33" s="6">
        <v>46</v>
      </c>
      <c r="J33" s="6" t="s">
        <v>39</v>
      </c>
      <c r="K33" s="6" t="s">
        <v>55</v>
      </c>
      <c r="L33" s="19"/>
      <c r="M33" s="19"/>
      <c r="N33" s="19"/>
      <c r="O33" s="19"/>
      <c r="P33" s="19">
        <v>44</v>
      </c>
      <c r="Q33" s="19">
        <v>93</v>
      </c>
      <c r="R33" s="19"/>
      <c r="S33" s="19"/>
      <c r="T33" s="19">
        <v>6.8</v>
      </c>
      <c r="U33" s="19">
        <v>0.6</v>
      </c>
      <c r="V33" s="19"/>
      <c r="W33" s="19"/>
      <c r="X33" s="19"/>
      <c r="Y33" s="19"/>
      <c r="Z33" s="58">
        <f>G33*P33/100</f>
        <v>14.96</v>
      </c>
      <c r="AA33" s="58">
        <f t="shared" si="8"/>
        <v>3.2199999999999989</v>
      </c>
      <c r="AB33" s="58">
        <f>G33-Z33</f>
        <v>19.04</v>
      </c>
      <c r="AC33" s="58">
        <f t="shared" si="10"/>
        <v>42.78</v>
      </c>
      <c r="AD33" s="59">
        <f t="shared" si="11"/>
        <v>0.44</v>
      </c>
      <c r="AE33" s="59">
        <f t="shared" si="12"/>
        <v>0.93</v>
      </c>
      <c r="AF33" s="59">
        <f t="shared" si="13"/>
        <v>0.82288228822882292</v>
      </c>
      <c r="AG33" s="59">
        <f t="shared" si="14"/>
        <v>0.69200905855710126</v>
      </c>
      <c r="AH33" s="59">
        <f t="shared" si="15"/>
        <v>0.72175</v>
      </c>
    </row>
    <row r="34" spans="1:34" ht="18" customHeight="1" x14ac:dyDescent="0.3">
      <c r="A34" s="41">
        <v>1299</v>
      </c>
      <c r="B34" s="23" t="s">
        <v>600</v>
      </c>
      <c r="C34" s="14">
        <v>2011</v>
      </c>
      <c r="D34" s="18" t="s">
        <v>569</v>
      </c>
      <c r="E34" s="6">
        <v>80</v>
      </c>
      <c r="F34" s="6" t="s">
        <v>106</v>
      </c>
      <c r="G34" s="6">
        <v>34</v>
      </c>
      <c r="H34" s="6" t="s">
        <v>107</v>
      </c>
      <c r="I34" s="6">
        <v>46</v>
      </c>
      <c r="J34" s="6" t="s">
        <v>458</v>
      </c>
      <c r="K34" s="6" t="s">
        <v>55</v>
      </c>
      <c r="L34" s="19"/>
      <c r="M34" s="19"/>
      <c r="N34" s="19"/>
      <c r="O34" s="19"/>
      <c r="P34" s="19">
        <v>88</v>
      </c>
      <c r="Q34" s="19">
        <v>76</v>
      </c>
      <c r="R34" s="19"/>
      <c r="S34" s="19"/>
      <c r="T34" s="19">
        <v>3.7</v>
      </c>
      <c r="U34" s="19">
        <v>0.15</v>
      </c>
      <c r="V34" s="19"/>
      <c r="W34" s="19"/>
      <c r="X34" s="19"/>
      <c r="Y34" s="19"/>
      <c r="Z34" s="58">
        <f>G34*P34/100</f>
        <v>29.92</v>
      </c>
      <c r="AA34" s="58">
        <f t="shared" si="8"/>
        <v>11.04</v>
      </c>
      <c r="AB34" s="58">
        <f>G34-Z34</f>
        <v>4.0799999999999983</v>
      </c>
      <c r="AC34" s="58">
        <f t="shared" si="10"/>
        <v>34.96</v>
      </c>
      <c r="AD34" s="59">
        <f t="shared" si="11"/>
        <v>0.88</v>
      </c>
      <c r="AE34" s="59">
        <f t="shared" si="12"/>
        <v>0.76</v>
      </c>
      <c r="AF34" s="59">
        <f t="shared" si="13"/>
        <v>0.73046875</v>
      </c>
      <c r="AG34" s="59">
        <f t="shared" si="14"/>
        <v>0.8954918032786886</v>
      </c>
      <c r="AH34" s="59">
        <f t="shared" si="15"/>
        <v>0.81099999999999994</v>
      </c>
    </row>
    <row r="35" spans="1:34" ht="18" customHeight="1" x14ac:dyDescent="0.3">
      <c r="A35" s="41">
        <v>1299</v>
      </c>
      <c r="B35" s="23" t="s">
        <v>600</v>
      </c>
      <c r="C35" s="14">
        <v>2011</v>
      </c>
      <c r="D35" s="18" t="str">
        <f>VLOOKUP(A35, '전체 목록(n=66)'!C:F, 4, FALSE)</f>
        <v>이탈리아</v>
      </c>
      <c r="E35" s="6">
        <v>80</v>
      </c>
      <c r="F35" s="6" t="s">
        <v>106</v>
      </c>
      <c r="G35" s="6">
        <v>34</v>
      </c>
      <c r="H35" s="6" t="s">
        <v>107</v>
      </c>
      <c r="I35" s="6">
        <v>46</v>
      </c>
      <c r="J35" s="6" t="s">
        <v>461</v>
      </c>
      <c r="K35" s="6" t="s">
        <v>456</v>
      </c>
      <c r="L35" s="19"/>
      <c r="M35" s="19"/>
      <c r="N35" s="19"/>
      <c r="O35" s="19"/>
      <c r="P35" s="19">
        <v>85</v>
      </c>
      <c r="Q35" s="19">
        <v>87</v>
      </c>
      <c r="R35" s="19"/>
      <c r="S35" s="19"/>
      <c r="T35" s="19">
        <v>6.5</v>
      </c>
      <c r="U35" s="19">
        <v>0.17</v>
      </c>
      <c r="V35" s="19"/>
      <c r="W35" s="19"/>
      <c r="X35" s="19"/>
      <c r="Y35" s="19"/>
      <c r="Z35" s="58">
        <f t="shared" si="7"/>
        <v>28.9</v>
      </c>
      <c r="AA35" s="58">
        <f t="shared" si="8"/>
        <v>5.9799999999999969</v>
      </c>
      <c r="AB35" s="58">
        <f t="shared" si="9"/>
        <v>5.1000000000000014</v>
      </c>
      <c r="AC35" s="58">
        <f t="shared" si="10"/>
        <v>40.020000000000003</v>
      </c>
      <c r="AD35" s="59">
        <f t="shared" si="11"/>
        <v>0.85</v>
      </c>
      <c r="AE35" s="59">
        <f t="shared" si="12"/>
        <v>0.87000000000000011</v>
      </c>
      <c r="AF35" s="59">
        <f t="shared" si="13"/>
        <v>0.8285550458715597</v>
      </c>
      <c r="AG35" s="59">
        <f t="shared" si="14"/>
        <v>0.88696808510638292</v>
      </c>
      <c r="AH35" s="59">
        <f t="shared" si="15"/>
        <v>0.86150000000000004</v>
      </c>
    </row>
    <row r="36" spans="1:34" ht="18" customHeight="1" x14ac:dyDescent="0.3">
      <c r="A36" s="41">
        <v>1889</v>
      </c>
      <c r="B36" s="23" t="s">
        <v>568</v>
      </c>
      <c r="C36" s="14">
        <v>2007</v>
      </c>
      <c r="D36" s="18" t="s">
        <v>569</v>
      </c>
      <c r="E36" s="6">
        <v>132</v>
      </c>
      <c r="F36" s="6" t="s">
        <v>97</v>
      </c>
      <c r="G36" s="6">
        <v>42</v>
      </c>
      <c r="H36" s="6" t="s">
        <v>81</v>
      </c>
      <c r="I36" s="6">
        <v>90</v>
      </c>
      <c r="J36" s="6" t="s">
        <v>39</v>
      </c>
      <c r="K36" s="6" t="s">
        <v>507</v>
      </c>
      <c r="L36" s="19"/>
      <c r="M36" s="19"/>
      <c r="N36" s="19"/>
      <c r="O36" s="19"/>
      <c r="P36" s="19">
        <v>71.400000000000006</v>
      </c>
      <c r="Q36" s="19">
        <v>94.4</v>
      </c>
      <c r="R36" s="19"/>
      <c r="S36" s="19"/>
      <c r="T36" s="19"/>
      <c r="U36" s="19"/>
      <c r="V36" s="19"/>
      <c r="W36" s="19">
        <v>0.89</v>
      </c>
      <c r="X36" s="19" t="s">
        <v>145</v>
      </c>
      <c r="Y36" s="19"/>
      <c r="Z36" s="58">
        <f>G36*P36/100</f>
        <v>29.988000000000003</v>
      </c>
      <c r="AA36" s="58">
        <f t="shared" si="8"/>
        <v>5.0400000000000063</v>
      </c>
      <c r="AB36" s="58">
        <f>G36-Z36</f>
        <v>12.011999999999997</v>
      </c>
      <c r="AC36" s="58">
        <f t="shared" si="10"/>
        <v>84.96</v>
      </c>
      <c r="AD36" s="59">
        <f t="shared" si="11"/>
        <v>0.71400000000000008</v>
      </c>
      <c r="AE36" s="59">
        <f t="shared" si="12"/>
        <v>0.94399999999999995</v>
      </c>
      <c r="AF36" s="59">
        <f t="shared" si="13"/>
        <v>0.85611510791366896</v>
      </c>
      <c r="AG36" s="59">
        <f t="shared" si="14"/>
        <v>0.87612919193169159</v>
      </c>
      <c r="AH36" s="59">
        <f t="shared" si="15"/>
        <v>0.87081818181818171</v>
      </c>
    </row>
    <row r="37" spans="1:34" ht="18" customHeight="1" x14ac:dyDescent="0.3">
      <c r="A37" s="41">
        <v>1889</v>
      </c>
      <c r="B37" s="23" t="s">
        <v>568</v>
      </c>
      <c r="C37" s="14">
        <v>2007</v>
      </c>
      <c r="D37" s="18" t="s">
        <v>569</v>
      </c>
      <c r="E37" s="6">
        <v>132</v>
      </c>
      <c r="F37" s="6" t="s">
        <v>97</v>
      </c>
      <c r="G37" s="6">
        <v>42</v>
      </c>
      <c r="H37" s="6" t="s">
        <v>81</v>
      </c>
      <c r="I37" s="6">
        <v>90</v>
      </c>
      <c r="J37" s="6" t="s">
        <v>51</v>
      </c>
      <c r="K37" s="6" t="s">
        <v>507</v>
      </c>
      <c r="L37" s="19"/>
      <c r="M37" s="19"/>
      <c r="N37" s="19"/>
      <c r="O37" s="19"/>
      <c r="P37" s="19">
        <v>54.8</v>
      </c>
      <c r="Q37" s="19">
        <v>97.8</v>
      </c>
      <c r="R37" s="19"/>
      <c r="S37" s="19"/>
      <c r="T37" s="19"/>
      <c r="U37" s="19"/>
      <c r="V37" s="19"/>
      <c r="W37" s="19">
        <v>0.75</v>
      </c>
      <c r="X37" s="19" t="s">
        <v>146</v>
      </c>
      <c r="Y37" s="19"/>
      <c r="Z37" s="58">
        <f>G37*P37/100</f>
        <v>23.015999999999998</v>
      </c>
      <c r="AA37" s="58">
        <f t="shared" si="8"/>
        <v>1.980000000000004</v>
      </c>
      <c r="AB37" s="58">
        <f>G37-Z37</f>
        <v>18.984000000000002</v>
      </c>
      <c r="AC37" s="58">
        <f t="shared" si="10"/>
        <v>88.02</v>
      </c>
      <c r="AD37" s="59">
        <f t="shared" si="11"/>
        <v>0.54799999999999993</v>
      </c>
      <c r="AE37" s="59">
        <f t="shared" si="12"/>
        <v>0.97799999999999998</v>
      </c>
      <c r="AF37" s="59">
        <f t="shared" si="13"/>
        <v>0.9207873259721554</v>
      </c>
      <c r="AG37" s="59">
        <f t="shared" si="14"/>
        <v>0.8225860715487272</v>
      </c>
      <c r="AH37" s="59">
        <f t="shared" si="15"/>
        <v>0.84118181818181814</v>
      </c>
    </row>
    <row r="38" spans="1:34" ht="18" customHeight="1" x14ac:dyDescent="0.3">
      <c r="A38" s="41">
        <v>1889</v>
      </c>
      <c r="B38" s="23" t="s">
        <v>568</v>
      </c>
      <c r="C38" s="14">
        <v>2007</v>
      </c>
      <c r="D38" s="18" t="str">
        <f>VLOOKUP(A38, '전체 목록(n=66)'!C:F, 4, FALSE)</f>
        <v>이탈리아</v>
      </c>
      <c r="E38" s="6">
        <v>132</v>
      </c>
      <c r="F38" s="6" t="s">
        <v>97</v>
      </c>
      <c r="G38" s="6">
        <v>42</v>
      </c>
      <c r="H38" s="6" t="s">
        <v>98</v>
      </c>
      <c r="I38" s="6">
        <v>90</v>
      </c>
      <c r="J38" s="6" t="s">
        <v>325</v>
      </c>
      <c r="K38" s="6" t="s">
        <v>507</v>
      </c>
      <c r="L38" s="19"/>
      <c r="M38" s="19"/>
      <c r="N38" s="19"/>
      <c r="O38" s="19"/>
      <c r="P38" s="19">
        <v>76.2</v>
      </c>
      <c r="Q38" s="19">
        <v>93.3</v>
      </c>
      <c r="R38" s="19"/>
      <c r="S38" s="19"/>
      <c r="T38" s="19"/>
      <c r="U38" s="19"/>
      <c r="V38" s="19"/>
      <c r="W38" s="19"/>
      <c r="X38" s="19"/>
      <c r="Y38" s="19"/>
      <c r="Z38" s="58">
        <f t="shared" si="7"/>
        <v>32.003999999999998</v>
      </c>
      <c r="AA38" s="58">
        <f t="shared" si="8"/>
        <v>6.0300000000000011</v>
      </c>
      <c r="AB38" s="58">
        <f t="shared" si="9"/>
        <v>9.9960000000000022</v>
      </c>
      <c r="AC38" s="58">
        <f t="shared" si="10"/>
        <v>83.97</v>
      </c>
      <c r="AD38" s="59">
        <f t="shared" si="11"/>
        <v>0.7619999999999999</v>
      </c>
      <c r="AE38" s="59">
        <f t="shared" si="12"/>
        <v>0.93299999999999994</v>
      </c>
      <c r="AF38" s="59">
        <f t="shared" si="13"/>
        <v>0.84145764316138194</v>
      </c>
      <c r="AG38" s="59">
        <f t="shared" si="14"/>
        <v>0.89362109699252912</v>
      </c>
      <c r="AH38" s="59">
        <f t="shared" si="15"/>
        <v>0.87859090909090898</v>
      </c>
    </row>
    <row r="39" spans="1:34" ht="18" customHeight="1" x14ac:dyDescent="0.3">
      <c r="A39" s="41">
        <v>2455</v>
      </c>
      <c r="B39" s="23" t="s">
        <v>575</v>
      </c>
      <c r="C39" s="14">
        <v>2004</v>
      </c>
      <c r="D39" s="18" t="s">
        <v>547</v>
      </c>
      <c r="E39" s="6">
        <v>537</v>
      </c>
      <c r="F39" s="6" t="s">
        <v>97</v>
      </c>
      <c r="G39" s="6">
        <v>33</v>
      </c>
      <c r="H39" s="6" t="s">
        <v>98</v>
      </c>
      <c r="I39" s="6">
        <f t="shared" ref="I39:I44" si="27">E39-G39</f>
        <v>504</v>
      </c>
      <c r="J39" s="6" t="s">
        <v>39</v>
      </c>
      <c r="K39" s="6" t="s">
        <v>179</v>
      </c>
      <c r="L39" s="19"/>
      <c r="M39" s="19"/>
      <c r="N39" s="19"/>
      <c r="O39" s="19"/>
      <c r="P39" s="19">
        <v>69.7</v>
      </c>
      <c r="Q39" s="19">
        <v>74.8</v>
      </c>
      <c r="R39" s="19">
        <v>15.3</v>
      </c>
      <c r="S39" s="19">
        <v>97.4</v>
      </c>
      <c r="T39" s="19"/>
      <c r="U39" s="19"/>
      <c r="V39" s="19"/>
      <c r="W39" s="19">
        <v>0.77400000000000002</v>
      </c>
      <c r="X39" s="19" t="s">
        <v>178</v>
      </c>
      <c r="Y39" s="19"/>
      <c r="Z39" s="58">
        <f>G39*P39/100</f>
        <v>23.000999999999998</v>
      </c>
      <c r="AA39" s="58">
        <f t="shared" si="8"/>
        <v>127.00800000000004</v>
      </c>
      <c r="AB39" s="58">
        <f>G39-Z39</f>
        <v>9.9990000000000023</v>
      </c>
      <c r="AC39" s="58">
        <f t="shared" si="10"/>
        <v>376.99199999999996</v>
      </c>
      <c r="AD39" s="59">
        <f t="shared" si="11"/>
        <v>0.69699999999999995</v>
      </c>
      <c r="AE39" s="59">
        <f t="shared" si="12"/>
        <v>0.74799999999999989</v>
      </c>
      <c r="AF39" s="59">
        <f t="shared" si="13"/>
        <v>0.15333080015199083</v>
      </c>
      <c r="AG39" s="59">
        <f t="shared" si="14"/>
        <v>0.97416218981836777</v>
      </c>
      <c r="AH39" s="59">
        <f t="shared" si="15"/>
        <v>0.74486592178770938</v>
      </c>
    </row>
    <row r="40" spans="1:34" ht="18" customHeight="1" x14ac:dyDescent="0.3">
      <c r="A40" s="41">
        <v>2455</v>
      </c>
      <c r="B40" s="23" t="s">
        <v>575</v>
      </c>
      <c r="C40" s="14">
        <v>2004</v>
      </c>
      <c r="D40" s="18" t="s">
        <v>547</v>
      </c>
      <c r="E40" s="6">
        <v>537</v>
      </c>
      <c r="F40" s="6" t="s">
        <v>97</v>
      </c>
      <c r="G40" s="6">
        <v>33</v>
      </c>
      <c r="H40" s="6" t="s">
        <v>98</v>
      </c>
      <c r="I40" s="6">
        <f t="shared" si="27"/>
        <v>504</v>
      </c>
      <c r="J40" s="6" t="s">
        <v>51</v>
      </c>
      <c r="K40" s="6" t="s">
        <v>179</v>
      </c>
      <c r="L40" s="19"/>
      <c r="M40" s="19"/>
      <c r="N40" s="19"/>
      <c r="O40" s="19"/>
      <c r="P40" s="19">
        <v>33.299999999999997</v>
      </c>
      <c r="Q40" s="19">
        <v>99.4</v>
      </c>
      <c r="R40" s="19">
        <v>78.599999999999994</v>
      </c>
      <c r="S40" s="19">
        <v>95.8</v>
      </c>
      <c r="T40" s="19"/>
      <c r="U40" s="19"/>
      <c r="V40" s="19"/>
      <c r="W40" s="19"/>
      <c r="X40" s="19"/>
      <c r="Y40" s="19"/>
      <c r="Z40" s="58">
        <f>G40*P40/100</f>
        <v>10.988999999999999</v>
      </c>
      <c r="AA40" s="58">
        <f t="shared" si="8"/>
        <v>3.0239999999999441</v>
      </c>
      <c r="AB40" s="58">
        <f>G40-Z40</f>
        <v>22.011000000000003</v>
      </c>
      <c r="AC40" s="58">
        <f t="shared" si="10"/>
        <v>500.97600000000006</v>
      </c>
      <c r="AD40" s="59">
        <f t="shared" si="11"/>
        <v>0.33299999999999996</v>
      </c>
      <c r="AE40" s="59">
        <f t="shared" si="12"/>
        <v>0.99400000000000011</v>
      </c>
      <c r="AF40" s="59">
        <f t="shared" si="13"/>
        <v>0.78420038535645786</v>
      </c>
      <c r="AG40" s="59">
        <f t="shared" si="14"/>
        <v>0.95791291179321858</v>
      </c>
      <c r="AH40" s="59">
        <f t="shared" si="15"/>
        <v>0.95337988826815645</v>
      </c>
    </row>
    <row r="41" spans="1:34" ht="18" customHeight="1" x14ac:dyDescent="0.3">
      <c r="A41" s="41">
        <v>2455</v>
      </c>
      <c r="B41" s="23" t="s">
        <v>575</v>
      </c>
      <c r="C41" s="14">
        <v>2004</v>
      </c>
      <c r="D41" s="18" t="s">
        <v>547</v>
      </c>
      <c r="E41" s="6">
        <v>537</v>
      </c>
      <c r="F41" s="6" t="s">
        <v>97</v>
      </c>
      <c r="G41" s="6">
        <v>33</v>
      </c>
      <c r="H41" s="6" t="s">
        <v>98</v>
      </c>
      <c r="I41" s="6">
        <f t="shared" si="27"/>
        <v>504</v>
      </c>
      <c r="J41" s="6" t="s">
        <v>39</v>
      </c>
      <c r="K41" s="6" t="s">
        <v>130</v>
      </c>
      <c r="L41" s="19"/>
      <c r="M41" s="19"/>
      <c r="N41" s="19"/>
      <c r="O41" s="19"/>
      <c r="P41" s="19">
        <v>55.6</v>
      </c>
      <c r="Q41" s="19">
        <v>67.5</v>
      </c>
      <c r="R41" s="19">
        <v>81</v>
      </c>
      <c r="S41" s="19">
        <v>38</v>
      </c>
      <c r="T41" s="19"/>
      <c r="U41" s="19"/>
      <c r="V41" s="19"/>
      <c r="W41" s="19"/>
      <c r="X41" s="19"/>
      <c r="Y41" s="19"/>
      <c r="Z41" s="58">
        <f>G41*P41/100</f>
        <v>18.347999999999999</v>
      </c>
      <c r="AA41" s="58">
        <f t="shared" si="8"/>
        <v>163.80000000000001</v>
      </c>
      <c r="AB41" s="58">
        <f>G41-Z41</f>
        <v>14.652000000000001</v>
      </c>
      <c r="AC41" s="58">
        <f t="shared" si="10"/>
        <v>340.2</v>
      </c>
      <c r="AD41" s="59">
        <f t="shared" si="11"/>
        <v>0.55599999999999994</v>
      </c>
      <c r="AE41" s="59">
        <f t="shared" si="12"/>
        <v>0.67499999999999993</v>
      </c>
      <c r="AF41" s="59">
        <f t="shared" si="13"/>
        <v>0.10073127346992554</v>
      </c>
      <c r="AG41" s="59">
        <f t="shared" si="14"/>
        <v>0.95870954651516693</v>
      </c>
      <c r="AH41" s="59">
        <f t="shared" si="15"/>
        <v>0.6676871508379888</v>
      </c>
    </row>
    <row r="42" spans="1:34" ht="18" customHeight="1" x14ac:dyDescent="0.3">
      <c r="A42" s="41">
        <v>2455</v>
      </c>
      <c r="B42" s="23" t="s">
        <v>575</v>
      </c>
      <c r="C42" s="14">
        <v>2004</v>
      </c>
      <c r="D42" s="18" t="s">
        <v>547</v>
      </c>
      <c r="E42" s="6">
        <v>537</v>
      </c>
      <c r="F42" s="6" t="s">
        <v>97</v>
      </c>
      <c r="G42" s="6">
        <v>33</v>
      </c>
      <c r="H42" s="6" t="s">
        <v>98</v>
      </c>
      <c r="I42" s="6">
        <f t="shared" si="27"/>
        <v>504</v>
      </c>
      <c r="J42" s="6" t="s">
        <v>51</v>
      </c>
      <c r="K42" s="6" t="s">
        <v>130</v>
      </c>
      <c r="L42" s="19"/>
      <c r="M42" s="19"/>
      <c r="N42" s="19"/>
      <c r="O42" s="19"/>
      <c r="P42" s="19">
        <v>4.4000000000000004</v>
      </c>
      <c r="Q42" s="19">
        <v>98.7</v>
      </c>
      <c r="R42" s="19">
        <v>89.5</v>
      </c>
      <c r="S42" s="19">
        <v>29.3</v>
      </c>
      <c r="T42" s="19"/>
      <c r="U42" s="19"/>
      <c r="V42" s="19"/>
      <c r="W42" s="19"/>
      <c r="X42" s="19"/>
      <c r="Y42" s="19"/>
      <c r="Z42" s="58">
        <f>G42*P42/100</f>
        <v>1.4520000000000002</v>
      </c>
      <c r="AA42" s="58">
        <f t="shared" si="8"/>
        <v>6.5519999999999641</v>
      </c>
      <c r="AB42" s="58">
        <f>G42-Z42</f>
        <v>31.547999999999998</v>
      </c>
      <c r="AC42" s="58">
        <f t="shared" si="10"/>
        <v>497.44800000000004</v>
      </c>
      <c r="AD42" s="59">
        <f t="shared" si="11"/>
        <v>4.4000000000000004E-2</v>
      </c>
      <c r="AE42" s="59">
        <f t="shared" si="12"/>
        <v>0.9870000000000001</v>
      </c>
      <c r="AF42" s="59">
        <f t="shared" si="13"/>
        <v>0.18140929535232467</v>
      </c>
      <c r="AG42" s="59">
        <f t="shared" si="14"/>
        <v>0.94036249801510796</v>
      </c>
      <c r="AH42" s="59">
        <f t="shared" si="15"/>
        <v>0.92905027932960904</v>
      </c>
    </row>
    <row r="43" spans="1:34" ht="18" customHeight="1" x14ac:dyDescent="0.3">
      <c r="A43" s="41">
        <v>2455</v>
      </c>
      <c r="B43" s="23" t="s">
        <v>575</v>
      </c>
      <c r="C43" s="14">
        <v>2004</v>
      </c>
      <c r="D43" s="18" t="str">
        <f>VLOOKUP(A43, '전체 목록(n=66)'!C:F, 4, FALSE)</f>
        <v>미국</v>
      </c>
      <c r="E43" s="6">
        <v>537</v>
      </c>
      <c r="F43" s="6" t="s">
        <v>97</v>
      </c>
      <c r="G43" s="6">
        <v>33</v>
      </c>
      <c r="H43" s="6" t="s">
        <v>315</v>
      </c>
      <c r="I43" s="6">
        <f t="shared" si="27"/>
        <v>504</v>
      </c>
      <c r="J43" s="6" t="s">
        <v>508</v>
      </c>
      <c r="K43" s="6" t="s">
        <v>179</v>
      </c>
      <c r="L43" s="19"/>
      <c r="M43" s="19"/>
      <c r="N43" s="19"/>
      <c r="O43" s="19"/>
      <c r="P43" s="19">
        <v>72.7</v>
      </c>
      <c r="Q43" s="19">
        <v>73.2</v>
      </c>
      <c r="R43" s="19">
        <v>15.1</v>
      </c>
      <c r="S43" s="19">
        <v>97.6</v>
      </c>
      <c r="T43" s="19"/>
      <c r="U43" s="19"/>
      <c r="V43" s="19"/>
      <c r="W43" s="19"/>
      <c r="X43" s="19"/>
      <c r="Y43" s="19"/>
      <c r="Z43" s="58">
        <f t="shared" si="7"/>
        <v>23.991</v>
      </c>
      <c r="AA43" s="58">
        <f t="shared" si="8"/>
        <v>135.07199999999995</v>
      </c>
      <c r="AB43" s="58">
        <f t="shared" si="9"/>
        <v>9.0090000000000003</v>
      </c>
      <c r="AC43" s="58">
        <f t="shared" si="10"/>
        <v>368.92800000000005</v>
      </c>
      <c r="AD43" s="59">
        <f t="shared" si="11"/>
        <v>0.72699999999999998</v>
      </c>
      <c r="AE43" s="59">
        <f t="shared" si="12"/>
        <v>0.7320000000000001</v>
      </c>
      <c r="AF43" s="59">
        <f t="shared" si="13"/>
        <v>0.15082703079911738</v>
      </c>
      <c r="AG43" s="59">
        <f t="shared" si="14"/>
        <v>0.97616269378229703</v>
      </c>
      <c r="AH43" s="59">
        <f t="shared" si="15"/>
        <v>0.73169273743016772</v>
      </c>
    </row>
    <row r="44" spans="1:34" ht="18" customHeight="1" x14ac:dyDescent="0.3">
      <c r="A44" s="41">
        <v>2455</v>
      </c>
      <c r="B44" s="23" t="s">
        <v>575</v>
      </c>
      <c r="C44" s="14">
        <v>2004</v>
      </c>
      <c r="D44" s="18" t="str">
        <f>VLOOKUP(A44, '전체 목록(n=66)'!C:F, 4, FALSE)</f>
        <v>미국</v>
      </c>
      <c r="E44" s="6">
        <v>537</v>
      </c>
      <c r="F44" s="6" t="s">
        <v>97</v>
      </c>
      <c r="G44" s="6">
        <v>33</v>
      </c>
      <c r="H44" s="6" t="s">
        <v>315</v>
      </c>
      <c r="I44" s="6">
        <f t="shared" si="27"/>
        <v>504</v>
      </c>
      <c r="J44" s="6" t="s">
        <v>508</v>
      </c>
      <c r="K44" s="6" t="s">
        <v>130</v>
      </c>
      <c r="L44" s="19"/>
      <c r="M44" s="19"/>
      <c r="N44" s="19"/>
      <c r="O44" s="19"/>
      <c r="P44" s="19">
        <v>57.4</v>
      </c>
      <c r="Q44" s="19">
        <v>66.900000000000006</v>
      </c>
      <c r="R44" s="19">
        <v>81.2</v>
      </c>
      <c r="S44" s="19">
        <v>38.700000000000003</v>
      </c>
      <c r="T44" s="19"/>
      <c r="U44" s="19"/>
      <c r="V44" s="19"/>
      <c r="W44" s="19"/>
      <c r="X44" s="19"/>
      <c r="Y44" s="19"/>
      <c r="Z44" s="58">
        <f t="shared" si="7"/>
        <v>18.942</v>
      </c>
      <c r="AA44" s="58">
        <f t="shared" si="8"/>
        <v>166.82399999999996</v>
      </c>
      <c r="AB44" s="58">
        <f t="shared" si="9"/>
        <v>14.058</v>
      </c>
      <c r="AC44" s="58">
        <f t="shared" si="10"/>
        <v>337.17600000000004</v>
      </c>
      <c r="AD44" s="59">
        <f t="shared" si="11"/>
        <v>0.57399999999999995</v>
      </c>
      <c r="AE44" s="59">
        <f t="shared" si="12"/>
        <v>0.66900000000000004</v>
      </c>
      <c r="AF44" s="59">
        <f t="shared" si="13"/>
        <v>0.10196699073027359</v>
      </c>
      <c r="AG44" s="59">
        <f t="shared" si="14"/>
        <v>0.95997540101470813</v>
      </c>
      <c r="AH44" s="59">
        <f t="shared" si="15"/>
        <v>0.66316201117318441</v>
      </c>
    </row>
    <row r="45" spans="1:34" ht="18" customHeight="1" x14ac:dyDescent="0.3">
      <c r="A45" s="41">
        <v>2609</v>
      </c>
      <c r="B45" s="23" t="s">
        <v>546</v>
      </c>
      <c r="C45" s="14">
        <v>2003</v>
      </c>
      <c r="D45" s="18" t="s">
        <v>547</v>
      </c>
      <c r="E45" s="6">
        <v>764</v>
      </c>
      <c r="F45" s="6" t="s">
        <v>106</v>
      </c>
      <c r="G45" s="6">
        <v>680</v>
      </c>
      <c r="H45" s="6" t="s">
        <v>107</v>
      </c>
      <c r="I45" s="6">
        <v>84</v>
      </c>
      <c r="J45" s="6" t="s">
        <v>39</v>
      </c>
      <c r="K45" s="6" t="s">
        <v>167</v>
      </c>
      <c r="L45" s="19"/>
      <c r="M45" s="19"/>
      <c r="N45" s="19"/>
      <c r="O45" s="19"/>
      <c r="P45" s="19">
        <v>59.6</v>
      </c>
      <c r="Q45" s="19">
        <v>77.099999999999994</v>
      </c>
      <c r="R45" s="19"/>
      <c r="S45" s="19"/>
      <c r="T45" s="19"/>
      <c r="U45" s="19"/>
      <c r="V45" s="19"/>
      <c r="W45" s="19"/>
      <c r="X45" s="19"/>
      <c r="Y45" s="19"/>
      <c r="Z45" s="58">
        <f t="shared" ref="Z45:Z52" si="28">G45*P45/100</f>
        <v>405.28</v>
      </c>
      <c r="AA45" s="58">
        <f t="shared" si="8"/>
        <v>19.236000000000004</v>
      </c>
      <c r="AB45" s="58">
        <f t="shared" ref="AB45:AB52" si="29">G45-Z45</f>
        <v>274.72000000000003</v>
      </c>
      <c r="AC45" s="58">
        <f t="shared" si="10"/>
        <v>64.763999999999996</v>
      </c>
      <c r="AD45" s="59">
        <f t="shared" si="11"/>
        <v>0.59599999999999997</v>
      </c>
      <c r="AE45" s="59">
        <f t="shared" si="12"/>
        <v>0.77099999999999991</v>
      </c>
      <c r="AF45" s="59">
        <f t="shared" si="13"/>
        <v>0.95468722026967179</v>
      </c>
      <c r="AG45" s="59">
        <f t="shared" si="14"/>
        <v>0.19077187731969691</v>
      </c>
      <c r="AH45" s="59">
        <f t="shared" si="15"/>
        <v>0.61524083769633509</v>
      </c>
    </row>
    <row r="46" spans="1:34" ht="18" customHeight="1" x14ac:dyDescent="0.3">
      <c r="A46" s="41">
        <v>2609</v>
      </c>
      <c r="B46" s="23" t="s">
        <v>546</v>
      </c>
      <c r="C46" s="14">
        <v>2003</v>
      </c>
      <c r="D46" s="18" t="s">
        <v>547</v>
      </c>
      <c r="E46" s="6">
        <v>764</v>
      </c>
      <c r="F46" s="6" t="s">
        <v>106</v>
      </c>
      <c r="G46" s="6">
        <v>680</v>
      </c>
      <c r="H46" s="6" t="s">
        <v>107</v>
      </c>
      <c r="I46" s="6">
        <v>84</v>
      </c>
      <c r="J46" s="6" t="s">
        <v>51</v>
      </c>
      <c r="K46" s="6" t="s">
        <v>167</v>
      </c>
      <c r="L46" s="19"/>
      <c r="M46" s="19"/>
      <c r="N46" s="19"/>
      <c r="O46" s="19"/>
      <c r="P46" s="19">
        <v>46.8</v>
      </c>
      <c r="Q46" s="19">
        <v>84.9</v>
      </c>
      <c r="R46" s="19"/>
      <c r="S46" s="19"/>
      <c r="T46" s="19"/>
      <c r="U46" s="19"/>
      <c r="V46" s="19"/>
      <c r="W46" s="19"/>
      <c r="X46" s="19"/>
      <c r="Y46" s="19"/>
      <c r="Z46" s="58">
        <f t="shared" si="28"/>
        <v>318.23999999999995</v>
      </c>
      <c r="AA46" s="58">
        <f t="shared" si="8"/>
        <v>12.683999999999997</v>
      </c>
      <c r="AB46" s="58">
        <f t="shared" si="29"/>
        <v>361.76000000000005</v>
      </c>
      <c r="AC46" s="58">
        <f t="shared" si="10"/>
        <v>71.316000000000003</v>
      </c>
      <c r="AD46" s="59">
        <f t="shared" si="11"/>
        <v>0.46799999999999992</v>
      </c>
      <c r="AE46" s="59">
        <f t="shared" si="12"/>
        <v>0.84899999999999998</v>
      </c>
      <c r="AF46" s="59">
        <f t="shared" si="13"/>
        <v>0.96167095768212629</v>
      </c>
      <c r="AG46" s="59">
        <f t="shared" si="14"/>
        <v>0.16467317514708735</v>
      </c>
      <c r="AH46" s="59">
        <f t="shared" si="15"/>
        <v>0.50989005235602081</v>
      </c>
    </row>
    <row r="47" spans="1:34" ht="18" customHeight="1" x14ac:dyDescent="0.3">
      <c r="A47" s="41">
        <v>2609</v>
      </c>
      <c r="B47" s="23" t="s">
        <v>546</v>
      </c>
      <c r="C47" s="14">
        <v>2003</v>
      </c>
      <c r="D47" s="18" t="s">
        <v>547</v>
      </c>
      <c r="E47" s="6">
        <v>764</v>
      </c>
      <c r="F47" s="6" t="s">
        <v>106</v>
      </c>
      <c r="G47" s="6">
        <v>680</v>
      </c>
      <c r="H47" s="6" t="s">
        <v>107</v>
      </c>
      <c r="I47" s="6">
        <v>84</v>
      </c>
      <c r="J47" s="6" t="s">
        <v>39</v>
      </c>
      <c r="K47" s="6" t="s">
        <v>211</v>
      </c>
      <c r="L47" s="19"/>
      <c r="M47" s="19"/>
      <c r="N47" s="19"/>
      <c r="O47" s="19"/>
      <c r="P47" s="19">
        <v>69.7</v>
      </c>
      <c r="Q47" s="19">
        <v>74.5</v>
      </c>
      <c r="R47" s="19"/>
      <c r="S47" s="19"/>
      <c r="T47" s="19"/>
      <c r="U47" s="19"/>
      <c r="V47" s="19"/>
      <c r="W47" s="19"/>
      <c r="X47" s="19"/>
      <c r="Y47" s="19"/>
      <c r="Z47" s="58">
        <f t="shared" si="28"/>
        <v>473.96</v>
      </c>
      <c r="AA47" s="58">
        <f t="shared" si="8"/>
        <v>21.42</v>
      </c>
      <c r="AB47" s="58">
        <f t="shared" si="29"/>
        <v>206.04000000000002</v>
      </c>
      <c r="AC47" s="58">
        <f t="shared" si="10"/>
        <v>62.58</v>
      </c>
      <c r="AD47" s="59">
        <f t="shared" si="11"/>
        <v>0.69699999999999995</v>
      </c>
      <c r="AE47" s="59">
        <f t="shared" si="12"/>
        <v>0.745</v>
      </c>
      <c r="AF47" s="59">
        <f t="shared" si="13"/>
        <v>0.95676046671242276</v>
      </c>
      <c r="AG47" s="59">
        <f t="shared" si="14"/>
        <v>0.2329685056957784</v>
      </c>
      <c r="AH47" s="59">
        <f t="shared" si="15"/>
        <v>0.70227748691099456</v>
      </c>
    </row>
    <row r="48" spans="1:34" ht="18" customHeight="1" x14ac:dyDescent="0.3">
      <c r="A48" s="41">
        <v>2609</v>
      </c>
      <c r="B48" s="23" t="s">
        <v>546</v>
      </c>
      <c r="C48" s="14">
        <v>2003</v>
      </c>
      <c r="D48" s="18" t="s">
        <v>547</v>
      </c>
      <c r="E48" s="6">
        <v>764</v>
      </c>
      <c r="F48" s="6" t="s">
        <v>106</v>
      </c>
      <c r="G48" s="6">
        <v>680</v>
      </c>
      <c r="H48" s="6" t="s">
        <v>107</v>
      </c>
      <c r="I48" s="6">
        <v>84</v>
      </c>
      <c r="J48" s="6" t="s">
        <v>51</v>
      </c>
      <c r="K48" s="6" t="s">
        <v>211</v>
      </c>
      <c r="L48" s="19"/>
      <c r="M48" s="19"/>
      <c r="N48" s="19"/>
      <c r="O48" s="19"/>
      <c r="P48" s="19">
        <v>57.8</v>
      </c>
      <c r="Q48" s="19">
        <v>83.1</v>
      </c>
      <c r="R48" s="19"/>
      <c r="S48" s="19"/>
      <c r="T48" s="19"/>
      <c r="U48" s="19"/>
      <c r="V48" s="19"/>
      <c r="W48" s="19"/>
      <c r="X48" s="19"/>
      <c r="Y48" s="19"/>
      <c r="Z48" s="58">
        <f t="shared" si="28"/>
        <v>393.04</v>
      </c>
      <c r="AA48" s="58">
        <f t="shared" si="8"/>
        <v>14.195999999999998</v>
      </c>
      <c r="AB48" s="58">
        <f t="shared" si="29"/>
        <v>286.95999999999998</v>
      </c>
      <c r="AC48" s="58">
        <f t="shared" si="10"/>
        <v>69.804000000000002</v>
      </c>
      <c r="AD48" s="59">
        <f t="shared" si="11"/>
        <v>0.57800000000000007</v>
      </c>
      <c r="AE48" s="59">
        <f t="shared" si="12"/>
        <v>0.83100000000000007</v>
      </c>
      <c r="AF48" s="59">
        <f t="shared" si="13"/>
        <v>0.96514060642968702</v>
      </c>
      <c r="AG48" s="59">
        <f t="shared" si="14"/>
        <v>0.19565875480709938</v>
      </c>
      <c r="AH48" s="59">
        <f t="shared" si="15"/>
        <v>0.60581675392670176</v>
      </c>
    </row>
    <row r="49" spans="1:34" ht="18" customHeight="1" x14ac:dyDescent="0.3">
      <c r="A49" s="41">
        <v>2609</v>
      </c>
      <c r="B49" s="23" t="s">
        <v>546</v>
      </c>
      <c r="C49" s="14">
        <v>2003</v>
      </c>
      <c r="D49" s="18" t="s">
        <v>547</v>
      </c>
      <c r="E49" s="6">
        <v>764</v>
      </c>
      <c r="F49" s="6" t="s">
        <v>106</v>
      </c>
      <c r="G49" s="6">
        <v>680</v>
      </c>
      <c r="H49" s="6" t="s">
        <v>107</v>
      </c>
      <c r="I49" s="6">
        <v>84</v>
      </c>
      <c r="J49" s="6" t="s">
        <v>39</v>
      </c>
      <c r="K49" s="6" t="s">
        <v>165</v>
      </c>
      <c r="L49" s="19"/>
      <c r="M49" s="19"/>
      <c r="N49" s="19"/>
      <c r="O49" s="19"/>
      <c r="P49" s="19">
        <v>71.599999999999994</v>
      </c>
      <c r="Q49" s="19">
        <v>72.8</v>
      </c>
      <c r="R49" s="19"/>
      <c r="S49" s="19"/>
      <c r="T49" s="19"/>
      <c r="U49" s="19"/>
      <c r="V49" s="19"/>
      <c r="W49" s="19"/>
      <c r="X49" s="19"/>
      <c r="Y49" s="19"/>
      <c r="Z49" s="58">
        <f t="shared" si="28"/>
        <v>486.87999999999994</v>
      </c>
      <c r="AA49" s="58">
        <f t="shared" si="8"/>
        <v>22.847999999999999</v>
      </c>
      <c r="AB49" s="58">
        <f t="shared" si="29"/>
        <v>193.12000000000006</v>
      </c>
      <c r="AC49" s="58">
        <f t="shared" si="10"/>
        <v>61.152000000000001</v>
      </c>
      <c r="AD49" s="59">
        <f t="shared" si="11"/>
        <v>0.71599999999999986</v>
      </c>
      <c r="AE49" s="59">
        <f t="shared" si="12"/>
        <v>0.72799999999999998</v>
      </c>
      <c r="AF49" s="59">
        <f t="shared" si="13"/>
        <v>0.95517609391675562</v>
      </c>
      <c r="AG49" s="59">
        <f t="shared" si="14"/>
        <v>0.24049836395670773</v>
      </c>
      <c r="AH49" s="59">
        <f t="shared" si="15"/>
        <v>0.71731937172774862</v>
      </c>
    </row>
    <row r="50" spans="1:34" ht="18" customHeight="1" x14ac:dyDescent="0.3">
      <c r="A50" s="41">
        <v>2609</v>
      </c>
      <c r="B50" s="23" t="s">
        <v>546</v>
      </c>
      <c r="C50" s="14">
        <v>2003</v>
      </c>
      <c r="D50" s="18" t="s">
        <v>547</v>
      </c>
      <c r="E50" s="6">
        <v>764</v>
      </c>
      <c r="F50" s="6" t="s">
        <v>106</v>
      </c>
      <c r="G50" s="6">
        <v>680</v>
      </c>
      <c r="H50" s="6" t="s">
        <v>107</v>
      </c>
      <c r="I50" s="6">
        <v>84</v>
      </c>
      <c r="J50" s="6" t="s">
        <v>51</v>
      </c>
      <c r="K50" s="6" t="s">
        <v>165</v>
      </c>
      <c r="L50" s="19"/>
      <c r="M50" s="19"/>
      <c r="N50" s="19"/>
      <c r="O50" s="19"/>
      <c r="P50" s="19">
        <v>61.5</v>
      </c>
      <c r="Q50" s="19">
        <v>81.599999999999994</v>
      </c>
      <c r="R50" s="19"/>
      <c r="S50" s="19"/>
      <c r="T50" s="19"/>
      <c r="U50" s="19"/>
      <c r="V50" s="19"/>
      <c r="W50" s="19"/>
      <c r="X50" s="19"/>
      <c r="Y50" s="19"/>
      <c r="Z50" s="58">
        <f t="shared" si="28"/>
        <v>418.2</v>
      </c>
      <c r="AA50" s="58">
        <f t="shared" si="8"/>
        <v>15.456000000000003</v>
      </c>
      <c r="AB50" s="58">
        <f t="shared" si="29"/>
        <v>261.8</v>
      </c>
      <c r="AC50" s="58">
        <f t="shared" si="10"/>
        <v>68.543999999999997</v>
      </c>
      <c r="AD50" s="59">
        <f t="shared" si="11"/>
        <v>0.61499999999999999</v>
      </c>
      <c r="AE50" s="59">
        <f t="shared" si="12"/>
        <v>0.81599999999999995</v>
      </c>
      <c r="AF50" s="59">
        <f t="shared" si="13"/>
        <v>0.96435884664342242</v>
      </c>
      <c r="AG50" s="59">
        <f t="shared" si="14"/>
        <v>0.207492795389049</v>
      </c>
      <c r="AH50" s="59">
        <f t="shared" si="15"/>
        <v>0.63709947643979059</v>
      </c>
    </row>
    <row r="51" spans="1:34" ht="18" customHeight="1" x14ac:dyDescent="0.3">
      <c r="A51" s="41">
        <v>2609</v>
      </c>
      <c r="B51" s="23" t="s">
        <v>546</v>
      </c>
      <c r="C51" s="14">
        <v>2003</v>
      </c>
      <c r="D51" s="18" t="s">
        <v>547</v>
      </c>
      <c r="E51" s="6">
        <v>764</v>
      </c>
      <c r="F51" s="6" t="s">
        <v>106</v>
      </c>
      <c r="G51" s="6">
        <v>680</v>
      </c>
      <c r="H51" s="6" t="s">
        <v>107</v>
      </c>
      <c r="I51" s="6">
        <v>84</v>
      </c>
      <c r="J51" s="6" t="s">
        <v>39</v>
      </c>
      <c r="K51" s="6" t="s">
        <v>184</v>
      </c>
      <c r="L51" s="19"/>
      <c r="M51" s="19"/>
      <c r="N51" s="19"/>
      <c r="O51" s="19"/>
      <c r="P51" s="19">
        <v>74.8</v>
      </c>
      <c r="Q51" s="19">
        <v>70.400000000000006</v>
      </c>
      <c r="R51" s="19"/>
      <c r="S51" s="19"/>
      <c r="T51" s="19"/>
      <c r="U51" s="19"/>
      <c r="V51" s="19"/>
      <c r="W51" s="19"/>
      <c r="X51" s="19"/>
      <c r="Y51" s="19"/>
      <c r="Z51" s="58">
        <f t="shared" si="28"/>
        <v>508.64</v>
      </c>
      <c r="AA51" s="58">
        <f t="shared" si="8"/>
        <v>24.863999999999997</v>
      </c>
      <c r="AB51" s="58">
        <f t="shared" si="29"/>
        <v>171.36</v>
      </c>
      <c r="AC51" s="58">
        <f t="shared" si="10"/>
        <v>59.136000000000003</v>
      </c>
      <c r="AD51" s="59">
        <f t="shared" si="11"/>
        <v>0.748</v>
      </c>
      <c r="AE51" s="59">
        <f t="shared" si="12"/>
        <v>0.70400000000000007</v>
      </c>
      <c r="AF51" s="59">
        <f t="shared" si="13"/>
        <v>0.95339491362763906</v>
      </c>
      <c r="AG51" s="59">
        <f t="shared" si="14"/>
        <v>0.2565597667638484</v>
      </c>
      <c r="AH51" s="59">
        <f t="shared" si="15"/>
        <v>0.74316230366492142</v>
      </c>
    </row>
    <row r="52" spans="1:34" ht="18" customHeight="1" x14ac:dyDescent="0.3">
      <c r="A52" s="41">
        <v>2609</v>
      </c>
      <c r="B52" s="23" t="s">
        <v>546</v>
      </c>
      <c r="C52" s="14">
        <v>2003</v>
      </c>
      <c r="D52" s="18" t="s">
        <v>547</v>
      </c>
      <c r="E52" s="6">
        <v>764</v>
      </c>
      <c r="F52" s="6" t="s">
        <v>106</v>
      </c>
      <c r="G52" s="6">
        <v>680</v>
      </c>
      <c r="H52" s="6" t="s">
        <v>107</v>
      </c>
      <c r="I52" s="6">
        <v>84</v>
      </c>
      <c r="J52" s="6" t="s">
        <v>51</v>
      </c>
      <c r="K52" s="6" t="s">
        <v>184</v>
      </c>
      <c r="L52" s="19"/>
      <c r="M52" s="19"/>
      <c r="N52" s="19"/>
      <c r="O52" s="19"/>
      <c r="P52" s="19">
        <v>70.8</v>
      </c>
      <c r="Q52" s="19">
        <v>78.7</v>
      </c>
      <c r="R52" s="19"/>
      <c r="S52" s="19"/>
      <c r="T52" s="19"/>
      <c r="U52" s="19"/>
      <c r="V52" s="19"/>
      <c r="W52" s="19"/>
      <c r="X52" s="19"/>
      <c r="Y52" s="19"/>
      <c r="Z52" s="58">
        <f t="shared" si="28"/>
        <v>481.44</v>
      </c>
      <c r="AA52" s="58">
        <f t="shared" si="8"/>
        <v>17.891999999999996</v>
      </c>
      <c r="AB52" s="58">
        <f t="shared" si="29"/>
        <v>198.56</v>
      </c>
      <c r="AC52" s="58">
        <f t="shared" si="10"/>
        <v>66.108000000000004</v>
      </c>
      <c r="AD52" s="59">
        <f t="shared" si="11"/>
        <v>0.70799999999999996</v>
      </c>
      <c r="AE52" s="59">
        <f t="shared" si="12"/>
        <v>0.78700000000000003</v>
      </c>
      <c r="AF52" s="59">
        <f t="shared" si="13"/>
        <v>0.96416812861983614</v>
      </c>
      <c r="AG52" s="59">
        <f t="shared" si="14"/>
        <v>0.24977707920866898</v>
      </c>
      <c r="AH52" s="59">
        <f t="shared" si="15"/>
        <v>0.71668586387434552</v>
      </c>
    </row>
    <row r="53" spans="1:34" ht="18" customHeight="1" x14ac:dyDescent="0.3">
      <c r="A53" s="41">
        <v>2609</v>
      </c>
      <c r="B53" s="23" t="s">
        <v>546</v>
      </c>
      <c r="C53" s="14">
        <v>2003</v>
      </c>
      <c r="D53" s="18" t="str">
        <f>VLOOKUP(A53, '전체 목록(n=66)'!C:F, 4, FALSE)</f>
        <v>미국</v>
      </c>
      <c r="E53" s="6">
        <v>764</v>
      </c>
      <c r="F53" s="6" t="s">
        <v>106</v>
      </c>
      <c r="G53" s="6">
        <v>680</v>
      </c>
      <c r="H53" s="6" t="s">
        <v>107</v>
      </c>
      <c r="I53" s="6">
        <v>84</v>
      </c>
      <c r="J53" s="6" t="s">
        <v>325</v>
      </c>
      <c r="K53" s="6" t="s">
        <v>167</v>
      </c>
      <c r="L53" s="19"/>
      <c r="M53" s="19"/>
      <c r="N53" s="19"/>
      <c r="O53" s="19"/>
      <c r="P53" s="19">
        <v>72.5</v>
      </c>
      <c r="Q53" s="19">
        <v>68.5</v>
      </c>
      <c r="R53" s="19">
        <v>27.7</v>
      </c>
      <c r="S53" s="19">
        <v>93.7</v>
      </c>
      <c r="T53" s="19"/>
      <c r="U53" s="19"/>
      <c r="V53" s="19"/>
      <c r="W53" s="19"/>
      <c r="X53" s="19"/>
      <c r="Y53" s="19"/>
      <c r="Z53" s="58">
        <f t="shared" si="7"/>
        <v>493</v>
      </c>
      <c r="AA53" s="58">
        <f t="shared" si="8"/>
        <v>26.46</v>
      </c>
      <c r="AB53" s="58">
        <f t="shared" si="9"/>
        <v>187</v>
      </c>
      <c r="AC53" s="58">
        <f t="shared" si="10"/>
        <v>57.54</v>
      </c>
      <c r="AD53" s="59">
        <f t="shared" si="11"/>
        <v>0.72499999999999998</v>
      </c>
      <c r="AE53" s="59">
        <f t="shared" si="12"/>
        <v>0.68499999999999994</v>
      </c>
      <c r="AF53" s="59">
        <f t="shared" si="13"/>
        <v>0.94906248796827464</v>
      </c>
      <c r="AG53" s="59">
        <f t="shared" si="14"/>
        <v>0.23529892860063795</v>
      </c>
      <c r="AH53" s="59">
        <f t="shared" si="15"/>
        <v>0.72060209424083765</v>
      </c>
    </row>
    <row r="54" spans="1:34" ht="18" customHeight="1" x14ac:dyDescent="0.3">
      <c r="A54" s="41">
        <v>2609</v>
      </c>
      <c r="B54" s="23" t="s">
        <v>546</v>
      </c>
      <c r="C54" s="14">
        <v>2003</v>
      </c>
      <c r="D54" s="18" t="str">
        <f>VLOOKUP(A54, '전체 목록(n=66)'!C:F, 4, FALSE)</f>
        <v>미국</v>
      </c>
      <c r="E54" s="6">
        <v>764</v>
      </c>
      <c r="F54" s="6" t="s">
        <v>106</v>
      </c>
      <c r="G54" s="6">
        <v>680</v>
      </c>
      <c r="H54" s="6" t="s">
        <v>107</v>
      </c>
      <c r="I54" s="6">
        <v>84</v>
      </c>
      <c r="J54" s="6" t="s">
        <v>325</v>
      </c>
      <c r="K54" s="6" t="s">
        <v>211</v>
      </c>
      <c r="L54" s="19"/>
      <c r="M54" s="19"/>
      <c r="N54" s="19"/>
      <c r="O54" s="19"/>
      <c r="P54" s="19">
        <v>84.4</v>
      </c>
      <c r="Q54" s="19">
        <v>61.7</v>
      </c>
      <c r="R54" s="19">
        <v>26.9</v>
      </c>
      <c r="S54" s="19">
        <v>96</v>
      </c>
      <c r="T54" s="19"/>
      <c r="U54" s="19"/>
      <c r="V54" s="19"/>
      <c r="W54" s="19"/>
      <c r="X54" s="19"/>
      <c r="Y54" s="19"/>
      <c r="Z54" s="58">
        <f t="shared" si="7"/>
        <v>573.92000000000007</v>
      </c>
      <c r="AA54" s="58">
        <f t="shared" si="8"/>
        <v>32.171999999999997</v>
      </c>
      <c r="AB54" s="58">
        <f t="shared" si="9"/>
        <v>106.07999999999993</v>
      </c>
      <c r="AC54" s="58">
        <f t="shared" si="10"/>
        <v>51.828000000000003</v>
      </c>
      <c r="AD54" s="59">
        <f t="shared" si="11"/>
        <v>0.84400000000000008</v>
      </c>
      <c r="AE54" s="59">
        <f t="shared" si="12"/>
        <v>0.61699999999999999</v>
      </c>
      <c r="AF54" s="59">
        <f t="shared" si="13"/>
        <v>0.94691894959841072</v>
      </c>
      <c r="AG54" s="59">
        <f t="shared" si="14"/>
        <v>0.32821642981989529</v>
      </c>
      <c r="AH54" s="59">
        <f t="shared" si="15"/>
        <v>0.819041884816754</v>
      </c>
    </row>
    <row r="55" spans="1:34" ht="18" customHeight="1" x14ac:dyDescent="0.3">
      <c r="A55" s="41">
        <v>2609</v>
      </c>
      <c r="B55" s="23" t="s">
        <v>546</v>
      </c>
      <c r="C55" s="14">
        <v>2003</v>
      </c>
      <c r="D55" s="18" t="str">
        <f>VLOOKUP(A55, '전체 목록(n=66)'!C:F, 4, FALSE)</f>
        <v>미국</v>
      </c>
      <c r="E55" s="6">
        <v>764</v>
      </c>
      <c r="F55" s="6" t="s">
        <v>106</v>
      </c>
      <c r="G55" s="6">
        <v>680</v>
      </c>
      <c r="H55" s="6" t="s">
        <v>107</v>
      </c>
      <c r="I55" s="6">
        <v>84</v>
      </c>
      <c r="J55" s="6" t="s">
        <v>325</v>
      </c>
      <c r="K55" s="6" t="s">
        <v>165</v>
      </c>
      <c r="L55" s="19"/>
      <c r="M55" s="19"/>
      <c r="N55" s="19"/>
      <c r="O55" s="19"/>
      <c r="P55" s="19">
        <v>89.9</v>
      </c>
      <c r="Q55" s="19">
        <v>55.3</v>
      </c>
      <c r="R55" s="19">
        <v>25.2</v>
      </c>
      <c r="S55" s="19">
        <v>97</v>
      </c>
      <c r="T55" s="19"/>
      <c r="U55" s="19"/>
      <c r="V55" s="19"/>
      <c r="W55" s="19"/>
      <c r="X55" s="19"/>
      <c r="Y55" s="19"/>
      <c r="Z55" s="58">
        <f t="shared" si="7"/>
        <v>611.32000000000005</v>
      </c>
      <c r="AA55" s="58">
        <f t="shared" si="8"/>
        <v>37.548000000000002</v>
      </c>
      <c r="AB55" s="58">
        <f t="shared" si="9"/>
        <v>68.67999999999995</v>
      </c>
      <c r="AC55" s="58">
        <f t="shared" si="10"/>
        <v>46.451999999999998</v>
      </c>
      <c r="AD55" s="59">
        <f t="shared" si="11"/>
        <v>0.89900000000000002</v>
      </c>
      <c r="AE55" s="59">
        <f t="shared" si="12"/>
        <v>0.55299999999999994</v>
      </c>
      <c r="AF55" s="59">
        <f t="shared" si="13"/>
        <v>0.94213306866727897</v>
      </c>
      <c r="AG55" s="59">
        <f t="shared" si="14"/>
        <v>0.40346732446235639</v>
      </c>
      <c r="AH55" s="59">
        <f t="shared" si="15"/>
        <v>0.86095811518324616</v>
      </c>
    </row>
    <row r="56" spans="1:34" ht="18" customHeight="1" x14ac:dyDescent="0.3">
      <c r="A56" s="41">
        <v>2609</v>
      </c>
      <c r="B56" s="23" t="s">
        <v>546</v>
      </c>
      <c r="C56" s="14">
        <v>2003</v>
      </c>
      <c r="D56" s="18" t="str">
        <f>VLOOKUP(A56, '전체 목록(n=66)'!C:F, 4, FALSE)</f>
        <v>미국</v>
      </c>
      <c r="E56" s="6">
        <v>764</v>
      </c>
      <c r="F56" s="6" t="s">
        <v>106</v>
      </c>
      <c r="G56" s="6">
        <v>680</v>
      </c>
      <c r="H56" s="6" t="s">
        <v>107</v>
      </c>
      <c r="I56" s="6">
        <v>84</v>
      </c>
      <c r="J56" s="6" t="s">
        <v>325</v>
      </c>
      <c r="K56" s="6" t="s">
        <v>184</v>
      </c>
      <c r="L56" s="19"/>
      <c r="M56" s="19"/>
      <c r="N56" s="19"/>
      <c r="O56" s="19"/>
      <c r="P56" s="19">
        <v>94.4</v>
      </c>
      <c r="Q56" s="19">
        <v>49.6</v>
      </c>
      <c r="R56" s="19">
        <v>24.1</v>
      </c>
      <c r="S56" s="19">
        <v>98.1</v>
      </c>
      <c r="T56" s="19"/>
      <c r="U56" s="19"/>
      <c r="V56" s="19"/>
      <c r="W56" s="19"/>
      <c r="X56" s="19"/>
      <c r="Y56" s="19"/>
      <c r="Z56" s="58">
        <f t="shared" si="7"/>
        <v>641.92000000000007</v>
      </c>
      <c r="AA56" s="58">
        <f t="shared" si="8"/>
        <v>42.335999999999991</v>
      </c>
      <c r="AB56" s="58">
        <f t="shared" si="9"/>
        <v>38.079999999999927</v>
      </c>
      <c r="AC56" s="58">
        <f t="shared" si="10"/>
        <v>41.664000000000009</v>
      </c>
      <c r="AD56" s="59">
        <f t="shared" si="11"/>
        <v>0.94400000000000006</v>
      </c>
      <c r="AE56" s="59">
        <f t="shared" si="12"/>
        <v>0.49600000000000011</v>
      </c>
      <c r="AF56" s="59">
        <f t="shared" si="13"/>
        <v>0.93812841977271666</v>
      </c>
      <c r="AG56" s="59">
        <f t="shared" si="14"/>
        <v>0.52247191011236005</v>
      </c>
      <c r="AH56" s="59">
        <f t="shared" si="15"/>
        <v>0.89474345549738232</v>
      </c>
    </row>
    <row r="57" spans="1:34" ht="18" customHeight="1" x14ac:dyDescent="0.3">
      <c r="A57" s="41">
        <v>2932</v>
      </c>
      <c r="B57" s="23" t="s">
        <v>546</v>
      </c>
      <c r="C57" s="14">
        <v>2001</v>
      </c>
      <c r="D57" s="18" t="s">
        <v>547</v>
      </c>
      <c r="E57" s="6">
        <v>817</v>
      </c>
      <c r="F57" s="6" t="s">
        <v>97</v>
      </c>
      <c r="G57" s="6">
        <v>65</v>
      </c>
      <c r="H57" s="6" t="s">
        <v>98</v>
      </c>
      <c r="I57" s="6">
        <v>752</v>
      </c>
      <c r="J57" s="6" t="s">
        <v>39</v>
      </c>
      <c r="K57" s="6" t="s">
        <v>167</v>
      </c>
      <c r="L57" s="19"/>
      <c r="M57" s="19"/>
      <c r="N57" s="19"/>
      <c r="O57" s="19"/>
      <c r="P57" s="19">
        <v>70.8</v>
      </c>
      <c r="Q57" s="19">
        <v>75.599999999999994</v>
      </c>
      <c r="R57" s="19">
        <v>20.100000000000001</v>
      </c>
      <c r="S57" s="19">
        <v>96.8</v>
      </c>
      <c r="T57" s="19"/>
      <c r="U57" s="19"/>
      <c r="V57" s="19"/>
      <c r="W57" s="19"/>
      <c r="X57" s="19"/>
      <c r="Y57" s="19"/>
      <c r="Z57" s="58">
        <f>G57*P57/100</f>
        <v>46.02</v>
      </c>
      <c r="AA57" s="58">
        <f>I57-AC57</f>
        <v>183.48800000000006</v>
      </c>
      <c r="AB57" s="58">
        <f>G57-Z57</f>
        <v>18.979999999999997</v>
      </c>
      <c r="AC57" s="58">
        <f>I57*Q57/100</f>
        <v>568.51199999999994</v>
      </c>
      <c r="AD57" s="59">
        <f>Z57/(Z57+AB57)</f>
        <v>0.70800000000000007</v>
      </c>
      <c r="AE57" s="59">
        <f>AC57/(AA57+AC57)</f>
        <v>0.75599999999999989</v>
      </c>
      <c r="AF57" s="59">
        <f>Z57/(Z57+AA57)</f>
        <v>0.20051588615647381</v>
      </c>
      <c r="AG57" s="59">
        <f>AC57/(AB57+AC57)</f>
        <v>0.96769317709858171</v>
      </c>
      <c r="AH57" s="59">
        <f>(Z57+AC57)/(Z57+AA57+AB57+AC57)</f>
        <v>0.75218115055079549</v>
      </c>
    </row>
    <row r="58" spans="1:34" ht="18" customHeight="1" x14ac:dyDescent="0.3">
      <c r="A58" s="41">
        <v>2932</v>
      </c>
      <c r="B58" s="23" t="s">
        <v>546</v>
      </c>
      <c r="C58" s="14">
        <v>2001</v>
      </c>
      <c r="D58" s="18" t="s">
        <v>547</v>
      </c>
      <c r="E58" s="6">
        <v>817</v>
      </c>
      <c r="F58" s="6" t="s">
        <v>97</v>
      </c>
      <c r="G58" s="6">
        <v>65</v>
      </c>
      <c r="H58" s="6" t="s">
        <v>98</v>
      </c>
      <c r="I58" s="6">
        <v>752</v>
      </c>
      <c r="J58" s="6" t="s">
        <v>51</v>
      </c>
      <c r="K58" s="6" t="s">
        <v>167</v>
      </c>
      <c r="L58" s="19"/>
      <c r="M58" s="19"/>
      <c r="N58" s="19"/>
      <c r="O58" s="19"/>
      <c r="P58" s="19">
        <v>64.599999999999994</v>
      </c>
      <c r="Q58" s="19">
        <v>87.6</v>
      </c>
      <c r="R58" s="19">
        <v>31.1</v>
      </c>
      <c r="S58" s="19">
        <v>96.6</v>
      </c>
      <c r="T58" s="19"/>
      <c r="U58" s="19"/>
      <c r="V58" s="19"/>
      <c r="W58" s="19"/>
      <c r="X58" s="19"/>
      <c r="Y58" s="19"/>
      <c r="Z58" s="58">
        <f>G58*P58/100</f>
        <v>41.99</v>
      </c>
      <c r="AA58" s="58">
        <f>I58-AC58</f>
        <v>93.248000000000047</v>
      </c>
      <c r="AB58" s="58">
        <f>G58-Z58</f>
        <v>23.009999999999998</v>
      </c>
      <c r="AC58" s="58">
        <f>I58*Q58/100</f>
        <v>658.75199999999995</v>
      </c>
      <c r="AD58" s="59">
        <f>Z58/(Z58+AB58)</f>
        <v>0.64600000000000002</v>
      </c>
      <c r="AE58" s="59">
        <f>AC58/(AA58+AC58)</f>
        <v>0.87599999999999989</v>
      </c>
      <c r="AF58" s="59">
        <f>Z58/(Z58+AA58)</f>
        <v>0.31048965527440503</v>
      </c>
      <c r="AG58" s="59">
        <f>AC58/(AB58+AC58)</f>
        <v>0.96624921893564031</v>
      </c>
      <c r="AH58" s="59">
        <f>(Z58+AC58)/(Z58+AA58+AB58+AC58)</f>
        <v>0.85770134638922879</v>
      </c>
    </row>
    <row r="59" spans="1:34" ht="18" customHeight="1" x14ac:dyDescent="0.3">
      <c r="A59" s="41">
        <v>2932</v>
      </c>
      <c r="B59" s="23" t="s">
        <v>546</v>
      </c>
      <c r="C59" s="14">
        <v>2001</v>
      </c>
      <c r="D59" s="18" t="str">
        <f>VLOOKUP(A59, '전체 목록(n=66)'!C:F, 4, FALSE)</f>
        <v>미국</v>
      </c>
      <c r="E59" s="6">
        <v>817</v>
      </c>
      <c r="F59" s="6" t="s">
        <v>97</v>
      </c>
      <c r="G59" s="6">
        <v>65</v>
      </c>
      <c r="H59" s="6" t="s">
        <v>98</v>
      </c>
      <c r="I59" s="6">
        <v>752</v>
      </c>
      <c r="J59" s="6" t="s">
        <v>325</v>
      </c>
      <c r="K59" s="6" t="s">
        <v>167</v>
      </c>
      <c r="L59" s="19"/>
      <c r="M59" s="19"/>
      <c r="N59" s="19"/>
      <c r="O59" s="19"/>
      <c r="P59" s="19">
        <v>84.6</v>
      </c>
      <c r="Q59" s="19">
        <v>66.8</v>
      </c>
      <c r="R59" s="19">
        <v>18.100000000000001</v>
      </c>
      <c r="S59" s="19">
        <v>98</v>
      </c>
      <c r="T59" s="19"/>
      <c r="U59" s="19"/>
      <c r="V59" s="19"/>
      <c r="W59" s="19"/>
      <c r="X59" s="19"/>
      <c r="Y59" s="19"/>
      <c r="Z59" s="58">
        <f t="shared" si="7"/>
        <v>54.99</v>
      </c>
      <c r="AA59" s="58">
        <f t="shared" si="8"/>
        <v>249.66399999999999</v>
      </c>
      <c r="AB59" s="58">
        <f t="shared" si="9"/>
        <v>10.009999999999998</v>
      </c>
      <c r="AC59" s="58">
        <f t="shared" si="10"/>
        <v>502.33600000000001</v>
      </c>
      <c r="AD59" s="59">
        <f t="shared" si="11"/>
        <v>0.84600000000000009</v>
      </c>
      <c r="AE59" s="59">
        <f t="shared" si="12"/>
        <v>0.66800000000000004</v>
      </c>
      <c r="AF59" s="59">
        <f t="shared" si="13"/>
        <v>0.18049984572662758</v>
      </c>
      <c r="AG59" s="59">
        <f t="shared" si="14"/>
        <v>0.9804624218789646</v>
      </c>
      <c r="AH59" s="59">
        <f t="shared" si="15"/>
        <v>0.68216156670746642</v>
      </c>
    </row>
    <row r="60" spans="1:34" ht="18" customHeight="1" x14ac:dyDescent="0.3">
      <c r="A60" s="41">
        <v>2932</v>
      </c>
      <c r="B60" s="23" t="s">
        <v>546</v>
      </c>
      <c r="C60" s="14">
        <v>2001</v>
      </c>
      <c r="D60" s="18" t="str">
        <f>VLOOKUP(A60, '전체 목록(n=66)'!C:F, 4, FALSE)</f>
        <v>미국</v>
      </c>
      <c r="E60" s="6">
        <v>817</v>
      </c>
      <c r="F60" s="6" t="s">
        <v>97</v>
      </c>
      <c r="G60" s="6">
        <v>65</v>
      </c>
      <c r="H60" s="6" t="s">
        <v>98</v>
      </c>
      <c r="I60" s="6">
        <v>752</v>
      </c>
      <c r="J60" s="6" t="s">
        <v>325</v>
      </c>
      <c r="K60" s="6" t="s">
        <v>211</v>
      </c>
      <c r="L60" s="19"/>
      <c r="M60" s="19"/>
      <c r="N60" s="19"/>
      <c r="O60" s="19"/>
      <c r="P60" s="19">
        <v>96.9</v>
      </c>
      <c r="Q60" s="19">
        <v>59.7</v>
      </c>
      <c r="R60" s="19">
        <v>17.3</v>
      </c>
      <c r="S60" s="19">
        <v>99.6</v>
      </c>
      <c r="T60" s="19"/>
      <c r="U60" s="19"/>
      <c r="V60" s="19"/>
      <c r="W60" s="19"/>
      <c r="X60" s="19"/>
      <c r="Y60" s="19"/>
      <c r="Z60" s="58">
        <f t="shared" si="7"/>
        <v>62.984999999999999</v>
      </c>
      <c r="AA60" s="58">
        <f t="shared" si="8"/>
        <v>303.05599999999998</v>
      </c>
      <c r="AB60" s="58">
        <f t="shared" si="9"/>
        <v>2.0150000000000006</v>
      </c>
      <c r="AC60" s="58">
        <f t="shared" si="10"/>
        <v>448.94400000000002</v>
      </c>
      <c r="AD60" s="59">
        <f t="shared" si="11"/>
        <v>0.96899999999999997</v>
      </c>
      <c r="AE60" s="59">
        <f t="shared" si="12"/>
        <v>0.59699999999999998</v>
      </c>
      <c r="AF60" s="59">
        <f t="shared" si="13"/>
        <v>0.17207088823383174</v>
      </c>
      <c r="AG60" s="59">
        <f t="shared" si="14"/>
        <v>0.99553174457101423</v>
      </c>
      <c r="AH60" s="59">
        <f t="shared" si="15"/>
        <v>0.6265960832313342</v>
      </c>
    </row>
    <row r="61" spans="1:34" ht="18" customHeight="1" x14ac:dyDescent="0.3">
      <c r="A61" s="41">
        <v>2932</v>
      </c>
      <c r="B61" s="23" t="s">
        <v>546</v>
      </c>
      <c r="C61" s="14">
        <v>2001</v>
      </c>
      <c r="D61" s="18" t="str">
        <f>VLOOKUP(A61, '전체 목록(n=66)'!C:F, 4, FALSE)</f>
        <v>미국</v>
      </c>
      <c r="E61" s="6">
        <v>817</v>
      </c>
      <c r="F61" s="6" t="s">
        <v>97</v>
      </c>
      <c r="G61" s="6">
        <v>65</v>
      </c>
      <c r="H61" s="6" t="s">
        <v>98</v>
      </c>
      <c r="I61" s="6">
        <v>752</v>
      </c>
      <c r="J61" s="6" t="s">
        <v>39</v>
      </c>
      <c r="K61" s="6" t="s">
        <v>165</v>
      </c>
      <c r="L61" s="19"/>
      <c r="M61" s="19"/>
      <c r="N61" s="19"/>
      <c r="O61" s="19"/>
      <c r="P61" s="19">
        <v>84.6</v>
      </c>
      <c r="Q61" s="19">
        <v>71.099999999999994</v>
      </c>
      <c r="R61" s="19">
        <v>98.3</v>
      </c>
      <c r="S61" s="19">
        <v>20.399999999999999</v>
      </c>
      <c r="T61" s="19"/>
      <c r="U61" s="19"/>
      <c r="V61" s="19"/>
      <c r="W61" s="19"/>
      <c r="X61" s="19"/>
      <c r="Y61" s="19"/>
      <c r="Z61" s="58">
        <f t="shared" si="7"/>
        <v>54.99</v>
      </c>
      <c r="AA61" s="58">
        <f t="shared" si="8"/>
        <v>217.32799999999997</v>
      </c>
      <c r="AB61" s="58">
        <f t="shared" si="9"/>
        <v>10.009999999999998</v>
      </c>
      <c r="AC61" s="58">
        <f t="shared" si="10"/>
        <v>534.67200000000003</v>
      </c>
      <c r="AD61" s="59">
        <f t="shared" si="11"/>
        <v>0.84600000000000009</v>
      </c>
      <c r="AE61" s="59">
        <f t="shared" si="12"/>
        <v>0.71100000000000008</v>
      </c>
      <c r="AF61" s="59">
        <f t="shared" si="13"/>
        <v>0.20193303417328273</v>
      </c>
      <c r="AG61" s="59">
        <f t="shared" si="14"/>
        <v>0.98162230439045173</v>
      </c>
      <c r="AH61" s="59">
        <f t="shared" si="15"/>
        <v>0.72174051407588746</v>
      </c>
    </row>
    <row r="62" spans="1:34" ht="18" customHeight="1" x14ac:dyDescent="0.3">
      <c r="A62" s="41">
        <v>2932</v>
      </c>
      <c r="B62" s="23" t="s">
        <v>546</v>
      </c>
      <c r="C62" s="14">
        <v>2001</v>
      </c>
      <c r="D62" s="18" t="str">
        <f>VLOOKUP(A62, '전체 목록(n=66)'!C:F, 4, FALSE)</f>
        <v>미국</v>
      </c>
      <c r="E62" s="6">
        <v>817</v>
      </c>
      <c r="F62" s="6" t="s">
        <v>97</v>
      </c>
      <c r="G62" s="6">
        <v>65</v>
      </c>
      <c r="H62" s="6" t="s">
        <v>98</v>
      </c>
      <c r="I62" s="6">
        <v>752</v>
      </c>
      <c r="J62" s="6" t="s">
        <v>51</v>
      </c>
      <c r="K62" s="6" t="s">
        <v>165</v>
      </c>
      <c r="L62" s="19"/>
      <c r="M62" s="19"/>
      <c r="N62" s="19"/>
      <c r="O62" s="19"/>
      <c r="P62" s="19">
        <v>87.7</v>
      </c>
      <c r="Q62" s="19">
        <v>69.8</v>
      </c>
      <c r="R62" s="19">
        <v>98.5</v>
      </c>
      <c r="S62" s="19">
        <v>20.2</v>
      </c>
      <c r="T62" s="19"/>
      <c r="U62" s="19"/>
      <c r="V62" s="19"/>
      <c r="W62" s="19"/>
      <c r="X62" s="19"/>
      <c r="Y62" s="19"/>
      <c r="Z62" s="58">
        <f t="shared" si="7"/>
        <v>57.005000000000003</v>
      </c>
      <c r="AA62" s="58">
        <f t="shared" si="8"/>
        <v>227.10400000000004</v>
      </c>
      <c r="AB62" s="58">
        <f t="shared" si="9"/>
        <v>7.9949999999999974</v>
      </c>
      <c r="AC62" s="58">
        <f t="shared" si="10"/>
        <v>524.89599999999996</v>
      </c>
      <c r="AD62" s="59">
        <f t="shared" si="11"/>
        <v>0.877</v>
      </c>
      <c r="AE62" s="59">
        <f t="shared" si="12"/>
        <v>0.69799999999999995</v>
      </c>
      <c r="AF62" s="59">
        <f t="shared" si="13"/>
        <v>0.2006448229376753</v>
      </c>
      <c r="AG62" s="59">
        <f t="shared" si="14"/>
        <v>0.98499693183033676</v>
      </c>
      <c r="AH62" s="59">
        <f t="shared" si="15"/>
        <v>0.71224112607099133</v>
      </c>
    </row>
    <row r="63" spans="1:34" ht="18" customHeight="1" x14ac:dyDescent="0.3">
      <c r="A63" s="41">
        <v>2932</v>
      </c>
      <c r="B63" s="23" t="s">
        <v>546</v>
      </c>
      <c r="C63" s="14">
        <v>2001</v>
      </c>
      <c r="D63" s="18" t="str">
        <f>VLOOKUP(A63, '전체 목록(n=66)'!C:F, 4, FALSE)</f>
        <v>미국</v>
      </c>
      <c r="E63" s="6">
        <v>817</v>
      </c>
      <c r="F63" s="6" t="s">
        <v>97</v>
      </c>
      <c r="G63" s="6">
        <v>65</v>
      </c>
      <c r="H63" s="6" t="s">
        <v>98</v>
      </c>
      <c r="I63" s="6">
        <v>752</v>
      </c>
      <c r="J63" s="6" t="s">
        <v>325</v>
      </c>
      <c r="K63" s="6" t="s">
        <v>165</v>
      </c>
      <c r="L63" s="19"/>
      <c r="M63" s="19"/>
      <c r="N63" s="19"/>
      <c r="O63" s="19"/>
      <c r="P63" s="19">
        <v>96.9</v>
      </c>
      <c r="Q63" s="19">
        <v>53.1</v>
      </c>
      <c r="R63" s="19">
        <v>15.2</v>
      </c>
      <c r="S63" s="19">
        <v>99.5</v>
      </c>
      <c r="T63" s="19"/>
      <c r="U63" s="19"/>
      <c r="V63" s="19"/>
      <c r="W63" s="19"/>
      <c r="X63" s="19"/>
      <c r="Y63" s="19"/>
      <c r="Z63" s="58">
        <f t="shared" si="7"/>
        <v>62.984999999999999</v>
      </c>
      <c r="AA63" s="58">
        <f t="shared" si="8"/>
        <v>352.68799999999993</v>
      </c>
      <c r="AB63" s="58">
        <f t="shared" si="9"/>
        <v>2.0150000000000006</v>
      </c>
      <c r="AC63" s="58">
        <f t="shared" si="10"/>
        <v>399.31200000000007</v>
      </c>
      <c r="AD63" s="59">
        <f t="shared" si="11"/>
        <v>0.96899999999999997</v>
      </c>
      <c r="AE63" s="59">
        <f t="shared" si="12"/>
        <v>0.53100000000000014</v>
      </c>
      <c r="AF63" s="59">
        <f t="shared" si="13"/>
        <v>0.15152535767297853</v>
      </c>
      <c r="AG63" s="59">
        <f t="shared" si="14"/>
        <v>0.99497915664782088</v>
      </c>
      <c r="AH63" s="59">
        <f t="shared" si="15"/>
        <v>0.56584700122399034</v>
      </c>
    </row>
    <row r="64" spans="1:34" ht="18" customHeight="1" x14ac:dyDescent="0.3">
      <c r="A64" s="41">
        <v>2936</v>
      </c>
      <c r="B64" s="23" t="s">
        <v>579</v>
      </c>
      <c r="C64" s="14">
        <v>2001</v>
      </c>
      <c r="D64" s="18" t="s">
        <v>547</v>
      </c>
      <c r="E64" s="6">
        <v>1285</v>
      </c>
      <c r="F64" s="6" t="s">
        <v>106</v>
      </c>
      <c r="G64" s="6">
        <v>66</v>
      </c>
      <c r="H64" s="6" t="s">
        <v>107</v>
      </c>
      <c r="I64" s="6">
        <f>1285-66</f>
        <v>1219</v>
      </c>
      <c r="J64" s="6" t="s">
        <v>39</v>
      </c>
      <c r="K64" s="6" t="s">
        <v>211</v>
      </c>
      <c r="L64" s="19"/>
      <c r="M64" s="19"/>
      <c r="N64" s="19"/>
      <c r="O64" s="19"/>
      <c r="P64" s="19">
        <v>70</v>
      </c>
      <c r="Q64" s="19">
        <v>80</v>
      </c>
      <c r="R64" s="19">
        <v>16</v>
      </c>
      <c r="S64" s="19">
        <v>98</v>
      </c>
      <c r="T64" s="19"/>
      <c r="U64" s="19"/>
      <c r="V64" s="19"/>
      <c r="W64" s="19"/>
      <c r="X64" s="19"/>
      <c r="Y64" s="19"/>
      <c r="Z64" s="58">
        <f>G64*P64/100</f>
        <v>46.2</v>
      </c>
      <c r="AA64" s="58">
        <f t="shared" si="8"/>
        <v>243.79999999999995</v>
      </c>
      <c r="AB64" s="58">
        <f>G64-Z64</f>
        <v>19.799999999999997</v>
      </c>
      <c r="AC64" s="58">
        <f t="shared" si="10"/>
        <v>975.2</v>
      </c>
      <c r="AD64" s="59">
        <f t="shared" si="11"/>
        <v>0.70000000000000007</v>
      </c>
      <c r="AE64" s="59">
        <f t="shared" si="12"/>
        <v>0.8</v>
      </c>
      <c r="AF64" s="59">
        <f t="shared" si="13"/>
        <v>0.15931034482758624</v>
      </c>
      <c r="AG64" s="59">
        <f t="shared" si="14"/>
        <v>0.98010050251256287</v>
      </c>
      <c r="AH64" s="59">
        <f t="shared" si="15"/>
        <v>0.794863813229572</v>
      </c>
    </row>
    <row r="65" spans="1:34" ht="18" customHeight="1" x14ac:dyDescent="0.3">
      <c r="A65" s="41">
        <v>2936</v>
      </c>
      <c r="B65" s="23" t="s">
        <v>579</v>
      </c>
      <c r="C65" s="14">
        <v>2001</v>
      </c>
      <c r="D65" s="18" t="s">
        <v>547</v>
      </c>
      <c r="E65" s="6">
        <v>1285</v>
      </c>
      <c r="F65" s="6" t="s">
        <v>106</v>
      </c>
      <c r="G65" s="6">
        <v>66</v>
      </c>
      <c r="H65" s="6" t="s">
        <v>107</v>
      </c>
      <c r="I65" s="6">
        <f t="shared" ref="I65" si="30">1285-66</f>
        <v>1219</v>
      </c>
      <c r="J65" s="6" t="s">
        <v>51</v>
      </c>
      <c r="K65" s="6" t="s">
        <v>211</v>
      </c>
      <c r="L65" s="19"/>
      <c r="M65" s="19"/>
      <c r="N65" s="19"/>
      <c r="O65" s="19"/>
      <c r="P65" s="19">
        <v>86</v>
      </c>
      <c r="Q65" s="19">
        <v>99</v>
      </c>
      <c r="R65" s="19"/>
      <c r="S65" s="19"/>
      <c r="T65" s="19"/>
      <c r="U65" s="19"/>
      <c r="V65" s="19"/>
      <c r="W65" s="19"/>
      <c r="X65" s="19"/>
      <c r="Y65" s="19"/>
      <c r="Z65" s="58">
        <f>G65*P65/100</f>
        <v>56.76</v>
      </c>
      <c r="AA65" s="58">
        <f t="shared" si="8"/>
        <v>12.190000000000055</v>
      </c>
      <c r="AB65" s="58">
        <f>G65-Z65</f>
        <v>9.240000000000002</v>
      </c>
      <c r="AC65" s="58">
        <f t="shared" si="10"/>
        <v>1206.81</v>
      </c>
      <c r="AD65" s="59">
        <f t="shared" si="11"/>
        <v>0.86</v>
      </c>
      <c r="AE65" s="59">
        <f t="shared" si="12"/>
        <v>0.99</v>
      </c>
      <c r="AF65" s="59">
        <f t="shared" si="13"/>
        <v>0.8232052211747638</v>
      </c>
      <c r="AG65" s="59">
        <f t="shared" si="14"/>
        <v>0.99240162822252376</v>
      </c>
      <c r="AH65" s="59">
        <f t="shared" si="15"/>
        <v>0.98332295719844354</v>
      </c>
    </row>
    <row r="66" spans="1:34" ht="18" customHeight="1" x14ac:dyDescent="0.3">
      <c r="A66" s="41">
        <v>2936</v>
      </c>
      <c r="B66" s="23" t="s">
        <v>579</v>
      </c>
      <c r="C66" s="14">
        <v>2001</v>
      </c>
      <c r="D66" s="18" t="str">
        <f>VLOOKUP(A66, '전체 목록(n=66)'!C:F, 4, FALSE)</f>
        <v>미국</v>
      </c>
      <c r="E66" s="6">
        <v>1285</v>
      </c>
      <c r="F66" s="6" t="s">
        <v>106</v>
      </c>
      <c r="G66" s="6">
        <v>66</v>
      </c>
      <c r="H66" s="6" t="s">
        <v>107</v>
      </c>
      <c r="I66" s="6">
        <f>1285-66</f>
        <v>1219</v>
      </c>
      <c r="J66" s="6" t="s">
        <v>509</v>
      </c>
      <c r="K66" s="6" t="s">
        <v>211</v>
      </c>
      <c r="L66" s="19"/>
      <c r="M66" s="19"/>
      <c r="N66" s="19"/>
      <c r="O66" s="19"/>
      <c r="P66" s="19">
        <v>99</v>
      </c>
      <c r="Q66" s="19">
        <v>98</v>
      </c>
      <c r="R66" s="19"/>
      <c r="S66" s="19"/>
      <c r="T66" s="19"/>
      <c r="U66" s="19"/>
      <c r="V66" s="19"/>
      <c r="W66" s="19"/>
      <c r="X66" s="19"/>
      <c r="Y66" s="19"/>
      <c r="Z66" s="58">
        <f t="shared" si="7"/>
        <v>65.34</v>
      </c>
      <c r="AA66" s="58">
        <f t="shared" si="8"/>
        <v>24.380000000000109</v>
      </c>
      <c r="AB66" s="58">
        <f t="shared" si="9"/>
        <v>0.65999999999999659</v>
      </c>
      <c r="AC66" s="58">
        <f t="shared" si="10"/>
        <v>1194.6199999999999</v>
      </c>
      <c r="AD66" s="59">
        <f t="shared" si="11"/>
        <v>0.9900000000000001</v>
      </c>
      <c r="AE66" s="59">
        <f t="shared" si="12"/>
        <v>0.97999999999999987</v>
      </c>
      <c r="AF66" s="59">
        <f t="shared" si="13"/>
        <v>0.72826571555951758</v>
      </c>
      <c r="AG66" s="59">
        <f t="shared" si="14"/>
        <v>0.99944782812395416</v>
      </c>
      <c r="AH66" s="59">
        <f t="shared" si="15"/>
        <v>0.98051361867704268</v>
      </c>
    </row>
    <row r="67" spans="1:34" ht="18" customHeight="1" x14ac:dyDescent="0.3">
      <c r="A67" s="41">
        <v>3059</v>
      </c>
      <c r="B67" s="23" t="s">
        <v>604</v>
      </c>
      <c r="C67" s="14">
        <v>2000</v>
      </c>
      <c r="D67" s="18" t="s">
        <v>605</v>
      </c>
      <c r="E67" s="6">
        <f t="shared" ref="E67:E72" si="31">G67+I67</f>
        <v>66</v>
      </c>
      <c r="F67" s="6" t="s">
        <v>97</v>
      </c>
      <c r="G67" s="6">
        <v>41</v>
      </c>
      <c r="H67" s="6" t="s">
        <v>98</v>
      </c>
      <c r="I67" s="6">
        <v>25</v>
      </c>
      <c r="J67" s="6" t="s">
        <v>39</v>
      </c>
      <c r="K67" s="6" t="s">
        <v>302</v>
      </c>
      <c r="L67" s="19"/>
      <c r="M67" s="19"/>
      <c r="N67" s="19"/>
      <c r="O67" s="19"/>
      <c r="P67" s="19">
        <v>52</v>
      </c>
      <c r="Q67" s="19">
        <v>45</v>
      </c>
      <c r="R67" s="19"/>
      <c r="S67" s="19"/>
      <c r="T67" s="19"/>
      <c r="U67" s="19"/>
      <c r="V67" s="19"/>
      <c r="W67" s="19"/>
      <c r="X67" s="19"/>
      <c r="Y67" s="19"/>
      <c r="Z67" s="58">
        <f t="shared" ref="Z67:Z72" si="32">G67*P67/100</f>
        <v>21.32</v>
      </c>
      <c r="AA67" s="58">
        <f t="shared" si="8"/>
        <v>13.75</v>
      </c>
      <c r="AB67" s="58">
        <f t="shared" ref="AB67:AB72" si="33">G67-Z67</f>
        <v>19.68</v>
      </c>
      <c r="AC67" s="58">
        <f t="shared" si="10"/>
        <v>11.25</v>
      </c>
      <c r="AD67" s="59">
        <f t="shared" si="11"/>
        <v>0.52</v>
      </c>
      <c r="AE67" s="59">
        <f t="shared" si="12"/>
        <v>0.45</v>
      </c>
      <c r="AF67" s="59">
        <f t="shared" si="13"/>
        <v>0.60792700313658399</v>
      </c>
      <c r="AG67" s="59">
        <f t="shared" si="14"/>
        <v>0.36372453928225024</v>
      </c>
      <c r="AH67" s="59">
        <f t="shared" si="15"/>
        <v>0.49348484848484847</v>
      </c>
    </row>
    <row r="68" spans="1:34" ht="18" customHeight="1" x14ac:dyDescent="0.3">
      <c r="A68" s="41">
        <v>3059</v>
      </c>
      <c r="B68" s="23" t="s">
        <v>604</v>
      </c>
      <c r="C68" s="14">
        <v>2000</v>
      </c>
      <c r="D68" s="18" t="s">
        <v>605</v>
      </c>
      <c r="E68" s="6">
        <f t="shared" si="31"/>
        <v>66</v>
      </c>
      <c r="F68" s="6" t="s">
        <v>97</v>
      </c>
      <c r="G68" s="6">
        <v>41</v>
      </c>
      <c r="H68" s="6" t="s">
        <v>98</v>
      </c>
      <c r="I68" s="6">
        <v>25</v>
      </c>
      <c r="J68" s="6" t="s">
        <v>51</v>
      </c>
      <c r="K68" s="6" t="s">
        <v>302</v>
      </c>
      <c r="L68" s="19"/>
      <c r="M68" s="19"/>
      <c r="N68" s="19"/>
      <c r="O68" s="19"/>
      <c r="P68" s="19">
        <v>4</v>
      </c>
      <c r="Q68" s="19">
        <v>100</v>
      </c>
      <c r="R68" s="19"/>
      <c r="S68" s="19"/>
      <c r="T68" s="19"/>
      <c r="U68" s="19"/>
      <c r="V68" s="19"/>
      <c r="W68" s="19"/>
      <c r="X68" s="19"/>
      <c r="Y68" s="19"/>
      <c r="Z68" s="58">
        <f t="shared" si="32"/>
        <v>1.64</v>
      </c>
      <c r="AA68" s="58">
        <f t="shared" si="8"/>
        <v>0</v>
      </c>
      <c r="AB68" s="58">
        <f t="shared" si="33"/>
        <v>39.36</v>
      </c>
      <c r="AC68" s="58">
        <f t="shared" si="10"/>
        <v>25</v>
      </c>
      <c r="AD68" s="59">
        <f t="shared" si="11"/>
        <v>0.04</v>
      </c>
      <c r="AE68" s="59">
        <f t="shared" si="12"/>
        <v>1</v>
      </c>
      <c r="AF68" s="59">
        <f t="shared" si="13"/>
        <v>1</v>
      </c>
      <c r="AG68" s="59">
        <f t="shared" si="14"/>
        <v>0.3884400248601616</v>
      </c>
      <c r="AH68" s="59">
        <f t="shared" si="15"/>
        <v>0.40363636363636363</v>
      </c>
    </row>
    <row r="69" spans="1:34" ht="18" customHeight="1" x14ac:dyDescent="0.3">
      <c r="A69" s="41">
        <v>3059</v>
      </c>
      <c r="B69" s="23" t="s">
        <v>604</v>
      </c>
      <c r="C69" s="14">
        <v>2000</v>
      </c>
      <c r="D69" s="18" t="s">
        <v>605</v>
      </c>
      <c r="E69" s="6">
        <f t="shared" si="31"/>
        <v>66</v>
      </c>
      <c r="F69" s="6" t="s">
        <v>97</v>
      </c>
      <c r="G69" s="6">
        <v>41</v>
      </c>
      <c r="H69" s="6" t="s">
        <v>98</v>
      </c>
      <c r="I69" s="6">
        <v>25</v>
      </c>
      <c r="J69" s="6" t="s">
        <v>39</v>
      </c>
      <c r="K69" s="6" t="s">
        <v>190</v>
      </c>
      <c r="L69" s="19"/>
      <c r="M69" s="19"/>
      <c r="N69" s="19"/>
      <c r="O69" s="19"/>
      <c r="P69" s="19">
        <v>96</v>
      </c>
      <c r="Q69" s="19">
        <v>54</v>
      </c>
      <c r="R69" s="19"/>
      <c r="S69" s="19"/>
      <c r="T69" s="19"/>
      <c r="U69" s="19"/>
      <c r="V69" s="19"/>
      <c r="W69" s="19"/>
      <c r="X69" s="19"/>
      <c r="Y69" s="19"/>
      <c r="Z69" s="58">
        <f t="shared" si="32"/>
        <v>39.36</v>
      </c>
      <c r="AA69" s="58">
        <f t="shared" si="8"/>
        <v>11.5</v>
      </c>
      <c r="AB69" s="58">
        <f t="shared" si="33"/>
        <v>1.6400000000000006</v>
      </c>
      <c r="AC69" s="58">
        <f t="shared" si="10"/>
        <v>13.5</v>
      </c>
      <c r="AD69" s="59">
        <f t="shared" si="11"/>
        <v>0.96</v>
      </c>
      <c r="AE69" s="59">
        <f t="shared" si="12"/>
        <v>0.54</v>
      </c>
      <c r="AF69" s="59">
        <f t="shared" si="13"/>
        <v>0.77388910735351946</v>
      </c>
      <c r="AG69" s="59">
        <f t="shared" si="14"/>
        <v>0.89167767503302509</v>
      </c>
      <c r="AH69" s="59">
        <f t="shared" si="15"/>
        <v>0.8009090909090909</v>
      </c>
    </row>
    <row r="70" spans="1:34" ht="18" customHeight="1" x14ac:dyDescent="0.3">
      <c r="A70" s="41">
        <v>3059</v>
      </c>
      <c r="B70" s="23" t="s">
        <v>604</v>
      </c>
      <c r="C70" s="14">
        <v>2000</v>
      </c>
      <c r="D70" s="18" t="s">
        <v>605</v>
      </c>
      <c r="E70" s="6">
        <f t="shared" si="31"/>
        <v>66</v>
      </c>
      <c r="F70" s="6" t="s">
        <v>97</v>
      </c>
      <c r="G70" s="6">
        <v>41</v>
      </c>
      <c r="H70" s="6" t="s">
        <v>98</v>
      </c>
      <c r="I70" s="6">
        <v>25</v>
      </c>
      <c r="J70" s="6" t="s">
        <v>51</v>
      </c>
      <c r="K70" s="6" t="s">
        <v>190</v>
      </c>
      <c r="L70" s="19"/>
      <c r="M70" s="19"/>
      <c r="N70" s="19"/>
      <c r="O70" s="19"/>
      <c r="P70" s="19">
        <v>50</v>
      </c>
      <c r="Q70" s="19">
        <v>100</v>
      </c>
      <c r="R70" s="19"/>
      <c r="S70" s="19"/>
      <c r="T70" s="19"/>
      <c r="U70" s="19"/>
      <c r="V70" s="19"/>
      <c r="W70" s="19"/>
      <c r="X70" s="19"/>
      <c r="Y70" s="19"/>
      <c r="Z70" s="58">
        <f t="shared" si="32"/>
        <v>20.5</v>
      </c>
      <c r="AA70" s="58">
        <f t="shared" si="8"/>
        <v>0</v>
      </c>
      <c r="AB70" s="58">
        <f t="shared" si="33"/>
        <v>20.5</v>
      </c>
      <c r="AC70" s="58">
        <f t="shared" si="10"/>
        <v>25</v>
      </c>
      <c r="AD70" s="59">
        <f t="shared" si="11"/>
        <v>0.5</v>
      </c>
      <c r="AE70" s="59">
        <f t="shared" si="12"/>
        <v>1</v>
      </c>
      <c r="AF70" s="59">
        <f t="shared" si="13"/>
        <v>1</v>
      </c>
      <c r="AG70" s="59">
        <f t="shared" si="14"/>
        <v>0.5494505494505495</v>
      </c>
      <c r="AH70" s="59">
        <f t="shared" si="15"/>
        <v>0.68939393939393945</v>
      </c>
    </row>
    <row r="71" spans="1:34" ht="18" customHeight="1" x14ac:dyDescent="0.3">
      <c r="A71" s="41">
        <v>3059</v>
      </c>
      <c r="B71" s="23" t="s">
        <v>604</v>
      </c>
      <c r="C71" s="14">
        <v>2000</v>
      </c>
      <c r="D71" s="18" t="s">
        <v>605</v>
      </c>
      <c r="E71" s="6">
        <f t="shared" si="31"/>
        <v>66</v>
      </c>
      <c r="F71" s="6" t="s">
        <v>97</v>
      </c>
      <c r="G71" s="6">
        <v>41</v>
      </c>
      <c r="H71" s="6" t="s">
        <v>98</v>
      </c>
      <c r="I71" s="6">
        <v>25</v>
      </c>
      <c r="J71" s="6" t="s">
        <v>39</v>
      </c>
      <c r="K71" s="6" t="s">
        <v>191</v>
      </c>
      <c r="L71" s="19"/>
      <c r="M71" s="19"/>
      <c r="N71" s="19"/>
      <c r="O71" s="19"/>
      <c r="P71" s="19">
        <v>97</v>
      </c>
      <c r="Q71" s="19">
        <v>45</v>
      </c>
      <c r="R71" s="19"/>
      <c r="S71" s="19"/>
      <c r="T71" s="19"/>
      <c r="U71" s="19"/>
      <c r="V71" s="19"/>
      <c r="W71" s="19"/>
      <c r="X71" s="19"/>
      <c r="Y71" s="19"/>
      <c r="Z71" s="58">
        <f t="shared" si="32"/>
        <v>39.770000000000003</v>
      </c>
      <c r="AA71" s="58">
        <f t="shared" si="8"/>
        <v>13.75</v>
      </c>
      <c r="AB71" s="58">
        <f t="shared" si="33"/>
        <v>1.2299999999999969</v>
      </c>
      <c r="AC71" s="58">
        <f t="shared" si="10"/>
        <v>11.25</v>
      </c>
      <c r="AD71" s="59">
        <f t="shared" si="11"/>
        <v>0.97000000000000008</v>
      </c>
      <c r="AE71" s="59">
        <f t="shared" si="12"/>
        <v>0.45</v>
      </c>
      <c r="AF71" s="59">
        <f t="shared" si="13"/>
        <v>0.74308669656203286</v>
      </c>
      <c r="AG71" s="59">
        <f t="shared" si="14"/>
        <v>0.90144230769230793</v>
      </c>
      <c r="AH71" s="59">
        <f t="shared" si="15"/>
        <v>0.77303030303030307</v>
      </c>
    </row>
    <row r="72" spans="1:34" ht="18" customHeight="1" x14ac:dyDescent="0.3">
      <c r="A72" s="41">
        <v>3059</v>
      </c>
      <c r="B72" s="23" t="s">
        <v>604</v>
      </c>
      <c r="C72" s="14">
        <v>2000</v>
      </c>
      <c r="D72" s="18" t="s">
        <v>605</v>
      </c>
      <c r="E72" s="6">
        <f t="shared" si="31"/>
        <v>66</v>
      </c>
      <c r="F72" s="6" t="s">
        <v>97</v>
      </c>
      <c r="G72" s="6">
        <v>41</v>
      </c>
      <c r="H72" s="6" t="s">
        <v>98</v>
      </c>
      <c r="I72" s="6">
        <v>25</v>
      </c>
      <c r="J72" s="6" t="s">
        <v>51</v>
      </c>
      <c r="K72" s="6" t="s">
        <v>191</v>
      </c>
      <c r="L72" s="19"/>
      <c r="M72" s="19"/>
      <c r="N72" s="19"/>
      <c r="O72" s="19"/>
      <c r="P72" s="19">
        <v>74</v>
      </c>
      <c r="Q72" s="19">
        <v>100</v>
      </c>
      <c r="R72" s="19"/>
      <c r="S72" s="19"/>
      <c r="T72" s="19"/>
      <c r="U72" s="19"/>
      <c r="V72" s="19"/>
      <c r="W72" s="19"/>
      <c r="X72" s="19"/>
      <c r="Y72" s="19"/>
      <c r="Z72" s="58">
        <f t="shared" si="32"/>
        <v>30.34</v>
      </c>
      <c r="AA72" s="58">
        <f t="shared" si="8"/>
        <v>0</v>
      </c>
      <c r="AB72" s="58">
        <f t="shared" si="33"/>
        <v>10.66</v>
      </c>
      <c r="AC72" s="58">
        <f t="shared" si="10"/>
        <v>25</v>
      </c>
      <c r="AD72" s="59">
        <f t="shared" si="11"/>
        <v>0.74</v>
      </c>
      <c r="AE72" s="59">
        <f t="shared" si="12"/>
        <v>1</v>
      </c>
      <c r="AF72" s="59">
        <f t="shared" si="13"/>
        <v>1</v>
      </c>
      <c r="AG72" s="59">
        <f t="shared" si="14"/>
        <v>0.70106561974200787</v>
      </c>
      <c r="AH72" s="59">
        <f t="shared" si="15"/>
        <v>0.8384848484848485</v>
      </c>
    </row>
    <row r="73" spans="1:34" ht="18" customHeight="1" x14ac:dyDescent="0.3">
      <c r="A73" s="41">
        <v>3059</v>
      </c>
      <c r="B73" s="23" t="s">
        <v>604</v>
      </c>
      <c r="C73" s="14">
        <v>2000</v>
      </c>
      <c r="D73" s="18" t="str">
        <f>VLOOKUP(A73, '전체 목록(n=66)'!C:F, 4, FALSE)</f>
        <v>크로아티아</v>
      </c>
      <c r="E73" s="6">
        <f t="shared" ref="E73:E83" si="34">G73+I73</f>
        <v>66</v>
      </c>
      <c r="F73" s="6" t="s">
        <v>97</v>
      </c>
      <c r="G73" s="6">
        <v>41</v>
      </c>
      <c r="H73" s="6" t="s">
        <v>98</v>
      </c>
      <c r="I73" s="6">
        <v>25</v>
      </c>
      <c r="J73" s="6" t="s">
        <v>452</v>
      </c>
      <c r="K73" s="6" t="s">
        <v>484</v>
      </c>
      <c r="L73" s="19"/>
      <c r="M73" s="19"/>
      <c r="N73" s="19"/>
      <c r="O73" s="19"/>
      <c r="P73" s="19">
        <v>4</v>
      </c>
      <c r="Q73" s="19">
        <v>100</v>
      </c>
      <c r="R73" s="19"/>
      <c r="S73" s="19"/>
      <c r="T73" s="19"/>
      <c r="U73" s="19"/>
      <c r="V73" s="19"/>
      <c r="W73" s="19"/>
      <c r="X73" s="19"/>
      <c r="Y73" s="19"/>
      <c r="Z73" s="58">
        <f t="shared" si="7"/>
        <v>1.64</v>
      </c>
      <c r="AA73" s="58">
        <f t="shared" si="8"/>
        <v>0</v>
      </c>
      <c r="AB73" s="58">
        <f t="shared" si="9"/>
        <v>39.36</v>
      </c>
      <c r="AC73" s="58">
        <f t="shared" si="10"/>
        <v>25</v>
      </c>
      <c r="AD73" s="59">
        <f t="shared" si="11"/>
        <v>0.04</v>
      </c>
      <c r="AE73" s="59">
        <f t="shared" si="12"/>
        <v>1</v>
      </c>
      <c r="AF73" s="59">
        <f t="shared" si="13"/>
        <v>1</v>
      </c>
      <c r="AG73" s="59">
        <f t="shared" si="14"/>
        <v>0.3884400248601616</v>
      </c>
      <c r="AH73" s="59">
        <f t="shared" si="15"/>
        <v>0.40363636363636363</v>
      </c>
    </row>
    <row r="74" spans="1:34" ht="18" customHeight="1" x14ac:dyDescent="0.3">
      <c r="A74" s="41">
        <v>3059</v>
      </c>
      <c r="B74" s="23" t="s">
        <v>604</v>
      </c>
      <c r="C74" s="14">
        <v>2000</v>
      </c>
      <c r="D74" s="18" t="str">
        <f>VLOOKUP(A74, '전체 목록(n=66)'!C:F, 4, FALSE)</f>
        <v>크로아티아</v>
      </c>
      <c r="E74" s="6">
        <f t="shared" si="34"/>
        <v>66</v>
      </c>
      <c r="F74" s="6" t="s">
        <v>97</v>
      </c>
      <c r="G74" s="6">
        <v>41</v>
      </c>
      <c r="H74" s="6" t="s">
        <v>98</v>
      </c>
      <c r="I74" s="6">
        <v>25</v>
      </c>
      <c r="J74" s="6" t="s">
        <v>452</v>
      </c>
      <c r="K74" s="6" t="s">
        <v>485</v>
      </c>
      <c r="L74" s="19"/>
      <c r="M74" s="19"/>
      <c r="N74" s="19"/>
      <c r="O74" s="19"/>
      <c r="P74" s="19">
        <v>50</v>
      </c>
      <c r="Q74" s="19">
        <v>100</v>
      </c>
      <c r="R74" s="19"/>
      <c r="S74" s="19"/>
      <c r="T74" s="19"/>
      <c r="U74" s="19"/>
      <c r="V74" s="19"/>
      <c r="W74" s="19"/>
      <c r="X74" s="19"/>
      <c r="Y74" s="19"/>
      <c r="Z74" s="58">
        <f t="shared" si="7"/>
        <v>20.5</v>
      </c>
      <c r="AA74" s="58">
        <f t="shared" si="8"/>
        <v>0</v>
      </c>
      <c r="AB74" s="58">
        <f t="shared" si="9"/>
        <v>20.5</v>
      </c>
      <c r="AC74" s="58">
        <f t="shared" si="10"/>
        <v>25</v>
      </c>
      <c r="AD74" s="59">
        <f t="shared" si="11"/>
        <v>0.5</v>
      </c>
      <c r="AE74" s="59">
        <f t="shared" si="12"/>
        <v>1</v>
      </c>
      <c r="AF74" s="59">
        <f t="shared" si="13"/>
        <v>1</v>
      </c>
      <c r="AG74" s="59">
        <f t="shared" si="14"/>
        <v>0.5494505494505495</v>
      </c>
      <c r="AH74" s="59">
        <f t="shared" si="15"/>
        <v>0.68939393939393945</v>
      </c>
    </row>
    <row r="75" spans="1:34" ht="18" customHeight="1" x14ac:dyDescent="0.3">
      <c r="A75" s="41">
        <v>3059</v>
      </c>
      <c r="B75" s="23" t="s">
        <v>604</v>
      </c>
      <c r="C75" s="14">
        <v>2000</v>
      </c>
      <c r="D75" s="18" t="str">
        <f>VLOOKUP(A75, '전체 목록(n=66)'!C:F, 4, FALSE)</f>
        <v>크로아티아</v>
      </c>
      <c r="E75" s="6">
        <f t="shared" si="34"/>
        <v>66</v>
      </c>
      <c r="F75" s="6" t="s">
        <v>97</v>
      </c>
      <c r="G75" s="6">
        <v>41</v>
      </c>
      <c r="H75" s="6" t="s">
        <v>98</v>
      </c>
      <c r="I75" s="6">
        <v>25</v>
      </c>
      <c r="J75" s="6" t="s">
        <v>452</v>
      </c>
      <c r="K75" s="6" t="s">
        <v>486</v>
      </c>
      <c r="L75" s="19"/>
      <c r="M75" s="19"/>
      <c r="N75" s="19"/>
      <c r="O75" s="19"/>
      <c r="P75" s="19">
        <v>71</v>
      </c>
      <c r="Q75" s="19">
        <v>100</v>
      </c>
      <c r="R75" s="19"/>
      <c r="S75" s="19"/>
      <c r="T75" s="19"/>
      <c r="U75" s="19"/>
      <c r="V75" s="19"/>
      <c r="W75" s="19"/>
      <c r="X75" s="19"/>
      <c r="Y75" s="19"/>
      <c r="Z75" s="58">
        <f t="shared" si="7"/>
        <v>29.11</v>
      </c>
      <c r="AA75" s="58">
        <f t="shared" si="8"/>
        <v>0</v>
      </c>
      <c r="AB75" s="58">
        <f t="shared" si="9"/>
        <v>11.89</v>
      </c>
      <c r="AC75" s="58">
        <f t="shared" si="10"/>
        <v>25</v>
      </c>
      <c r="AD75" s="59">
        <f t="shared" si="11"/>
        <v>0.71</v>
      </c>
      <c r="AE75" s="59">
        <f t="shared" si="12"/>
        <v>1</v>
      </c>
      <c r="AF75" s="59">
        <f t="shared" si="13"/>
        <v>1</v>
      </c>
      <c r="AG75" s="59">
        <f t="shared" si="14"/>
        <v>0.67769043101111415</v>
      </c>
      <c r="AH75" s="59">
        <f t="shared" si="15"/>
        <v>0.81984848484848483</v>
      </c>
    </row>
    <row r="76" spans="1:34" ht="18" customHeight="1" x14ac:dyDescent="0.3">
      <c r="A76" s="41">
        <v>3080</v>
      </c>
      <c r="B76" s="23" t="s">
        <v>584</v>
      </c>
      <c r="C76" s="14">
        <v>2000</v>
      </c>
      <c r="D76" s="18" t="s">
        <v>573</v>
      </c>
      <c r="E76" s="6">
        <f t="shared" ref="E76:E80" si="35">G76+I76</f>
        <v>738</v>
      </c>
      <c r="F76" s="6" t="s">
        <v>97</v>
      </c>
      <c r="G76" s="6">
        <v>156</v>
      </c>
      <c r="H76" s="6" t="s">
        <v>98</v>
      </c>
      <c r="I76" s="6">
        <f>238+87+257</f>
        <v>582</v>
      </c>
      <c r="J76" s="6" t="s">
        <v>39</v>
      </c>
      <c r="K76" s="6" t="s">
        <v>237</v>
      </c>
      <c r="L76" s="19"/>
      <c r="M76" s="19"/>
      <c r="N76" s="19"/>
      <c r="O76" s="19"/>
      <c r="P76" s="19">
        <v>78</v>
      </c>
      <c r="Q76" s="19">
        <v>82</v>
      </c>
      <c r="R76" s="19"/>
      <c r="S76" s="19"/>
      <c r="T76" s="19"/>
      <c r="U76" s="19"/>
      <c r="V76" s="19"/>
      <c r="W76" s="19"/>
      <c r="X76" s="19"/>
      <c r="Y76" s="19"/>
      <c r="Z76" s="58">
        <f t="shared" ref="Z76:Z80" si="36">G76*P76/100</f>
        <v>121.68</v>
      </c>
      <c r="AA76" s="58">
        <f t="shared" si="8"/>
        <v>104.75999999999999</v>
      </c>
      <c r="AB76" s="58">
        <f t="shared" ref="AB76:AB80" si="37">G76-Z76</f>
        <v>34.319999999999993</v>
      </c>
      <c r="AC76" s="58">
        <f t="shared" si="10"/>
        <v>477.24</v>
      </c>
      <c r="AD76" s="59">
        <f t="shared" si="11"/>
        <v>0.78</v>
      </c>
      <c r="AE76" s="59">
        <f t="shared" si="12"/>
        <v>0.82000000000000006</v>
      </c>
      <c r="AF76" s="59">
        <f t="shared" si="13"/>
        <v>0.5373608903020668</v>
      </c>
      <c r="AG76" s="59">
        <f t="shared" si="14"/>
        <v>0.93291109547267181</v>
      </c>
      <c r="AH76" s="59">
        <f t="shared" si="15"/>
        <v>0.81154471544715456</v>
      </c>
    </row>
    <row r="77" spans="1:34" ht="18" customHeight="1" x14ac:dyDescent="0.3">
      <c r="A77" s="41">
        <v>3080</v>
      </c>
      <c r="B77" s="23" t="s">
        <v>584</v>
      </c>
      <c r="C77" s="14">
        <v>2000</v>
      </c>
      <c r="D77" s="18" t="s">
        <v>573</v>
      </c>
      <c r="E77" s="6">
        <f t="shared" si="35"/>
        <v>738</v>
      </c>
      <c r="F77" s="6" t="s">
        <v>97</v>
      </c>
      <c r="G77" s="6">
        <v>156</v>
      </c>
      <c r="H77" s="6" t="s">
        <v>98</v>
      </c>
      <c r="I77" s="6">
        <f t="shared" ref="I77:I80" si="38">238+87+257</f>
        <v>582</v>
      </c>
      <c r="J77" s="6" t="s">
        <v>121</v>
      </c>
      <c r="K77" s="6" t="s">
        <v>238</v>
      </c>
      <c r="L77" s="19"/>
      <c r="M77" s="19"/>
      <c r="N77" s="19"/>
      <c r="O77" s="19"/>
      <c r="P77" s="19">
        <v>59</v>
      </c>
      <c r="Q77" s="19">
        <v>93</v>
      </c>
      <c r="R77" s="19"/>
      <c r="S77" s="19"/>
      <c r="T77" s="19"/>
      <c r="U77" s="19"/>
      <c r="V77" s="19"/>
      <c r="W77" s="19"/>
      <c r="X77" s="19"/>
      <c r="Y77" s="19"/>
      <c r="Z77" s="58">
        <f t="shared" si="36"/>
        <v>92.04</v>
      </c>
      <c r="AA77" s="58">
        <f t="shared" si="8"/>
        <v>40.740000000000009</v>
      </c>
      <c r="AB77" s="58">
        <f t="shared" si="37"/>
        <v>63.959999999999994</v>
      </c>
      <c r="AC77" s="58">
        <f t="shared" si="10"/>
        <v>541.26</v>
      </c>
      <c r="AD77" s="59">
        <f t="shared" si="11"/>
        <v>0.59000000000000008</v>
      </c>
      <c r="AE77" s="59">
        <f t="shared" si="12"/>
        <v>0.92999999999999994</v>
      </c>
      <c r="AF77" s="59">
        <f t="shared" si="13"/>
        <v>0.69317668323542692</v>
      </c>
      <c r="AG77" s="59">
        <f t="shared" si="14"/>
        <v>0.89431942103697826</v>
      </c>
      <c r="AH77" s="59">
        <f t="shared" si="15"/>
        <v>0.85813008130081292</v>
      </c>
    </row>
    <row r="78" spans="1:34" ht="18" customHeight="1" x14ac:dyDescent="0.3">
      <c r="A78" s="41">
        <v>3080</v>
      </c>
      <c r="B78" s="23" t="s">
        <v>584</v>
      </c>
      <c r="C78" s="14">
        <v>2000</v>
      </c>
      <c r="D78" s="18" t="s">
        <v>573</v>
      </c>
      <c r="E78" s="6">
        <f t="shared" si="35"/>
        <v>738</v>
      </c>
      <c r="F78" s="6" t="s">
        <v>97</v>
      </c>
      <c r="G78" s="6">
        <v>156</v>
      </c>
      <c r="H78" s="6" t="s">
        <v>98</v>
      </c>
      <c r="I78" s="6">
        <f t="shared" si="38"/>
        <v>582</v>
      </c>
      <c r="J78" s="6" t="s">
        <v>39</v>
      </c>
      <c r="K78" s="6" t="s">
        <v>239</v>
      </c>
      <c r="L78" s="19"/>
      <c r="M78" s="19"/>
      <c r="N78" s="19"/>
      <c r="O78" s="19"/>
      <c r="P78" s="19">
        <v>92</v>
      </c>
      <c r="Q78" s="19">
        <v>76</v>
      </c>
      <c r="R78" s="19"/>
      <c r="S78" s="19"/>
      <c r="T78" s="19"/>
      <c r="U78" s="19"/>
      <c r="V78" s="19"/>
      <c r="W78" s="19"/>
      <c r="X78" s="19"/>
      <c r="Y78" s="19"/>
      <c r="Z78" s="58">
        <f t="shared" si="36"/>
        <v>143.52000000000001</v>
      </c>
      <c r="AA78" s="58">
        <f t="shared" si="8"/>
        <v>139.68</v>
      </c>
      <c r="AB78" s="58">
        <f t="shared" si="37"/>
        <v>12.47999999999999</v>
      </c>
      <c r="AC78" s="58">
        <f t="shared" si="10"/>
        <v>442.32</v>
      </c>
      <c r="AD78" s="59">
        <f t="shared" si="11"/>
        <v>0.92</v>
      </c>
      <c r="AE78" s="59">
        <f t="shared" si="12"/>
        <v>0.76</v>
      </c>
      <c r="AF78" s="59">
        <f t="shared" si="13"/>
        <v>0.50677966101694916</v>
      </c>
      <c r="AG78" s="59">
        <f t="shared" si="14"/>
        <v>0.97255936675461752</v>
      </c>
      <c r="AH78" s="59">
        <f t="shared" si="15"/>
        <v>0.79382113821138212</v>
      </c>
    </row>
    <row r="79" spans="1:34" ht="18" customHeight="1" x14ac:dyDescent="0.3">
      <c r="A79" s="41">
        <v>3080</v>
      </c>
      <c r="B79" s="23" t="s">
        <v>584</v>
      </c>
      <c r="C79" s="14">
        <v>2000</v>
      </c>
      <c r="D79" s="18" t="s">
        <v>573</v>
      </c>
      <c r="E79" s="6">
        <f t="shared" si="35"/>
        <v>738</v>
      </c>
      <c r="F79" s="6" t="s">
        <v>97</v>
      </c>
      <c r="G79" s="6">
        <v>156</v>
      </c>
      <c r="H79" s="6" t="s">
        <v>98</v>
      </c>
      <c r="I79" s="6">
        <f t="shared" si="38"/>
        <v>582</v>
      </c>
      <c r="J79" s="6" t="s">
        <v>39</v>
      </c>
      <c r="K79" s="6" t="s">
        <v>240</v>
      </c>
      <c r="L79" s="19"/>
      <c r="M79" s="19"/>
      <c r="N79" s="19"/>
      <c r="O79" s="19"/>
      <c r="P79" s="19">
        <v>93</v>
      </c>
      <c r="Q79" s="19">
        <v>74</v>
      </c>
      <c r="R79" s="19"/>
      <c r="S79" s="19"/>
      <c r="T79" s="19"/>
      <c r="U79" s="19"/>
      <c r="V79" s="19"/>
      <c r="W79" s="19"/>
      <c r="X79" s="19"/>
      <c r="Y79" s="19"/>
      <c r="Z79" s="58">
        <f t="shared" si="36"/>
        <v>145.08000000000001</v>
      </c>
      <c r="AA79" s="58">
        <f t="shared" si="8"/>
        <v>151.32</v>
      </c>
      <c r="AB79" s="58">
        <f t="shared" si="37"/>
        <v>10.919999999999987</v>
      </c>
      <c r="AC79" s="58">
        <f t="shared" si="10"/>
        <v>430.68</v>
      </c>
      <c r="AD79" s="59">
        <f t="shared" si="11"/>
        <v>0.93</v>
      </c>
      <c r="AE79" s="59">
        <f t="shared" si="12"/>
        <v>0.74</v>
      </c>
      <c r="AF79" s="59">
        <f t="shared" si="13"/>
        <v>0.48947368421052639</v>
      </c>
      <c r="AG79" s="59">
        <f t="shared" si="14"/>
        <v>0.97527173913043474</v>
      </c>
      <c r="AH79" s="59">
        <f t="shared" si="15"/>
        <v>0.78016260162601625</v>
      </c>
    </row>
    <row r="80" spans="1:34" ht="18" customHeight="1" x14ac:dyDescent="0.3">
      <c r="A80" s="41">
        <v>3080</v>
      </c>
      <c r="B80" s="23" t="s">
        <v>584</v>
      </c>
      <c r="C80" s="14">
        <v>2000</v>
      </c>
      <c r="D80" s="18" t="s">
        <v>573</v>
      </c>
      <c r="E80" s="6">
        <f t="shared" si="35"/>
        <v>738</v>
      </c>
      <c r="F80" s="6" t="s">
        <v>97</v>
      </c>
      <c r="G80" s="6">
        <v>156</v>
      </c>
      <c r="H80" s="6" t="s">
        <v>98</v>
      </c>
      <c r="I80" s="6">
        <f t="shared" si="38"/>
        <v>582</v>
      </c>
      <c r="J80" s="6" t="s">
        <v>121</v>
      </c>
      <c r="K80" s="6" t="s">
        <v>241</v>
      </c>
      <c r="L80" s="19"/>
      <c r="M80" s="19"/>
      <c r="N80" s="19"/>
      <c r="O80" s="19"/>
      <c r="P80" s="19">
        <v>93</v>
      </c>
      <c r="Q80" s="19">
        <v>88</v>
      </c>
      <c r="R80" s="19"/>
      <c r="S80" s="19"/>
      <c r="T80" s="19"/>
      <c r="U80" s="19"/>
      <c r="V80" s="19"/>
      <c r="W80" s="19"/>
      <c r="X80" s="19"/>
      <c r="Y80" s="19"/>
      <c r="Z80" s="58">
        <f t="shared" si="36"/>
        <v>145.08000000000001</v>
      </c>
      <c r="AA80" s="58">
        <f t="shared" si="8"/>
        <v>69.840000000000032</v>
      </c>
      <c r="AB80" s="58">
        <f t="shared" si="37"/>
        <v>10.919999999999987</v>
      </c>
      <c r="AC80" s="58">
        <f t="shared" si="10"/>
        <v>512.16</v>
      </c>
      <c r="AD80" s="59">
        <f t="shared" si="11"/>
        <v>0.93</v>
      </c>
      <c r="AE80" s="59">
        <f t="shared" si="12"/>
        <v>0.87999999999999989</v>
      </c>
      <c r="AF80" s="59">
        <f t="shared" si="13"/>
        <v>0.67504187604690113</v>
      </c>
      <c r="AG80" s="59">
        <f t="shared" si="14"/>
        <v>0.97912365221381059</v>
      </c>
      <c r="AH80" s="59">
        <f t="shared" si="15"/>
        <v>0.89056910569105696</v>
      </c>
    </row>
    <row r="81" spans="1:34" ht="18" customHeight="1" x14ac:dyDescent="0.3">
      <c r="A81" s="41">
        <v>3080</v>
      </c>
      <c r="B81" s="23" t="s">
        <v>584</v>
      </c>
      <c r="C81" s="14">
        <v>2000</v>
      </c>
      <c r="D81" s="18" t="str">
        <f>VLOOKUP(A81, '전체 목록(n=66)'!C:F, 4, FALSE)</f>
        <v>스웨덴</v>
      </c>
      <c r="E81" s="6">
        <f t="shared" si="34"/>
        <v>738</v>
      </c>
      <c r="F81" s="6" t="s">
        <v>97</v>
      </c>
      <c r="G81" s="6">
        <v>156</v>
      </c>
      <c r="H81" s="6" t="s">
        <v>98</v>
      </c>
      <c r="I81" s="6">
        <f>238+87+257</f>
        <v>582</v>
      </c>
      <c r="J81" s="6" t="s">
        <v>510</v>
      </c>
      <c r="K81" s="6" t="s">
        <v>167</v>
      </c>
      <c r="L81" s="19"/>
      <c r="M81" s="19"/>
      <c r="N81" s="19"/>
      <c r="O81" s="19"/>
      <c r="P81" s="19">
        <v>56</v>
      </c>
      <c r="Q81" s="19">
        <v>95</v>
      </c>
      <c r="R81" s="19"/>
      <c r="S81" s="19"/>
      <c r="T81" s="19"/>
      <c r="U81" s="19"/>
      <c r="V81" s="19"/>
      <c r="W81" s="19"/>
      <c r="X81" s="19"/>
      <c r="Y81" s="19"/>
      <c r="Z81" s="58">
        <f t="shared" si="7"/>
        <v>87.36</v>
      </c>
      <c r="AA81" s="58">
        <f t="shared" si="8"/>
        <v>29.100000000000023</v>
      </c>
      <c r="AB81" s="58">
        <f t="shared" si="9"/>
        <v>68.64</v>
      </c>
      <c r="AC81" s="58">
        <f t="shared" si="10"/>
        <v>552.9</v>
      </c>
      <c r="AD81" s="59">
        <f t="shared" si="11"/>
        <v>0.55999999999999994</v>
      </c>
      <c r="AE81" s="59">
        <f t="shared" si="12"/>
        <v>0.95</v>
      </c>
      <c r="AF81" s="59">
        <f t="shared" si="13"/>
        <v>0.75012879958784118</v>
      </c>
      <c r="AG81" s="59">
        <f t="shared" si="14"/>
        <v>0.88956462979052031</v>
      </c>
      <c r="AH81" s="59">
        <f t="shared" si="15"/>
        <v>0.86756097560975609</v>
      </c>
    </row>
    <row r="82" spans="1:34" ht="18" customHeight="1" x14ac:dyDescent="0.3">
      <c r="A82" s="41">
        <v>3080</v>
      </c>
      <c r="B82" s="23" t="s">
        <v>584</v>
      </c>
      <c r="C82" s="14">
        <v>2000</v>
      </c>
      <c r="D82" s="18" t="str">
        <f>VLOOKUP(A82, '전체 목록(n=66)'!C:F, 4, FALSE)</f>
        <v>스웨덴</v>
      </c>
      <c r="E82" s="6">
        <f t="shared" si="34"/>
        <v>738</v>
      </c>
      <c r="F82" s="6" t="s">
        <v>97</v>
      </c>
      <c r="G82" s="6">
        <v>156</v>
      </c>
      <c r="H82" s="6" t="s">
        <v>98</v>
      </c>
      <c r="I82" s="6">
        <f t="shared" ref="I82:I83" si="39">238+87+257</f>
        <v>582</v>
      </c>
      <c r="J82" s="6" t="s">
        <v>510</v>
      </c>
      <c r="K82" s="6" t="s">
        <v>166</v>
      </c>
      <c r="L82" s="19"/>
      <c r="M82" s="19"/>
      <c r="N82" s="19"/>
      <c r="O82" s="19"/>
      <c r="P82" s="19">
        <v>92</v>
      </c>
      <c r="Q82" s="19">
        <v>91</v>
      </c>
      <c r="R82" s="19"/>
      <c r="S82" s="19"/>
      <c r="T82" s="19"/>
      <c r="U82" s="19"/>
      <c r="V82" s="19"/>
      <c r="W82" s="19"/>
      <c r="X82" s="19"/>
      <c r="Y82" s="19"/>
      <c r="Z82" s="58">
        <f t="shared" si="7"/>
        <v>143.52000000000001</v>
      </c>
      <c r="AA82" s="58">
        <f t="shared" si="8"/>
        <v>52.379999999999995</v>
      </c>
      <c r="AB82" s="58">
        <f t="shared" si="9"/>
        <v>12.47999999999999</v>
      </c>
      <c r="AC82" s="58">
        <f t="shared" si="10"/>
        <v>529.62</v>
      </c>
      <c r="AD82" s="59">
        <f t="shared" si="11"/>
        <v>0.92</v>
      </c>
      <c r="AE82" s="59">
        <f t="shared" si="12"/>
        <v>0.91</v>
      </c>
      <c r="AF82" s="59">
        <f t="shared" si="13"/>
        <v>0.73261868300153143</v>
      </c>
      <c r="AG82" s="59">
        <f t="shared" si="14"/>
        <v>0.97697841726618706</v>
      </c>
      <c r="AH82" s="59">
        <f t="shared" si="15"/>
        <v>0.91211382113821138</v>
      </c>
    </row>
    <row r="83" spans="1:34" s="19" customFormat="1" ht="18" customHeight="1" x14ac:dyDescent="0.3">
      <c r="A83" s="41">
        <v>3077</v>
      </c>
      <c r="B83" s="23" t="s">
        <v>612</v>
      </c>
      <c r="C83" s="14">
        <v>2000</v>
      </c>
      <c r="D83" s="18" t="str">
        <f>VLOOKUP(A83, '전체 목록(n=66)'!C:F, 4, FALSE)</f>
        <v>미국</v>
      </c>
      <c r="E83" s="6">
        <f t="shared" si="34"/>
        <v>738</v>
      </c>
      <c r="F83" s="6" t="s">
        <v>97</v>
      </c>
      <c r="G83" s="6">
        <v>156</v>
      </c>
      <c r="H83" s="6" t="s">
        <v>98</v>
      </c>
      <c r="I83" s="6">
        <f t="shared" si="39"/>
        <v>582</v>
      </c>
      <c r="J83" s="6" t="s">
        <v>512</v>
      </c>
      <c r="K83" s="6" t="s">
        <v>511</v>
      </c>
      <c r="P83" s="19">
        <v>88</v>
      </c>
      <c r="Q83" s="19">
        <v>98</v>
      </c>
      <c r="R83" s="19">
        <v>81</v>
      </c>
      <c r="S83" s="19">
        <v>99</v>
      </c>
      <c r="Z83" s="58">
        <f t="shared" si="7"/>
        <v>137.28</v>
      </c>
      <c r="AA83" s="58">
        <f t="shared" ref="AA83" si="40">I83-AC83</f>
        <v>11.639999999999986</v>
      </c>
      <c r="AB83" s="58">
        <f t="shared" si="9"/>
        <v>18.72</v>
      </c>
      <c r="AC83" s="58">
        <f t="shared" ref="AC83" si="41">I83*Q83/100</f>
        <v>570.36</v>
      </c>
      <c r="AD83" s="59">
        <f t="shared" ref="AD83" si="42">Z83/(Z83+AB83)</f>
        <v>0.88</v>
      </c>
      <c r="AE83" s="59">
        <f t="shared" ref="AE83" si="43">AC83/(AA83+AC83)</f>
        <v>0.98</v>
      </c>
      <c r="AF83" s="59">
        <f t="shared" ref="AF83" si="44">Z83/(Z83+AA83)</f>
        <v>0.92183722804190182</v>
      </c>
      <c r="AG83" s="59">
        <f t="shared" ref="AG83" si="45">AC83/(AB83+AC83)</f>
        <v>0.96822163373395798</v>
      </c>
      <c r="AH83" s="59">
        <f t="shared" ref="AH83" si="46">(Z83+AC83)/(Z83+AA83+AB83+AC83)</f>
        <v>0.95886178861788618</v>
      </c>
    </row>
    <row r="84" spans="1:34" ht="18" customHeight="1" x14ac:dyDescent="0.3">
      <c r="A84" s="41">
        <v>2305</v>
      </c>
      <c r="B84" s="23" t="s">
        <v>574</v>
      </c>
      <c r="C84" s="14">
        <v>2005</v>
      </c>
      <c r="D84" s="18" t="str">
        <f>VLOOKUP(A84, '전체 목록(n=66)'!C:F, 4, FALSE)</f>
        <v>오스트리아</v>
      </c>
      <c r="E84" s="6">
        <v>154</v>
      </c>
      <c r="F84" s="6" t="s">
        <v>521</v>
      </c>
      <c r="G84" s="6">
        <v>44</v>
      </c>
      <c r="H84" s="6" t="s">
        <v>522</v>
      </c>
      <c r="I84" s="6">
        <v>110</v>
      </c>
      <c r="J84" s="6" t="s">
        <v>325</v>
      </c>
      <c r="K84" s="6" t="s">
        <v>172</v>
      </c>
      <c r="L84" s="19"/>
      <c r="M84" s="19"/>
      <c r="N84" s="19"/>
      <c r="O84" s="19"/>
      <c r="P84" s="79">
        <v>93</v>
      </c>
      <c r="Q84" s="79">
        <v>55</v>
      </c>
      <c r="R84" s="19"/>
      <c r="S84" s="19"/>
      <c r="T84" s="19"/>
      <c r="U84" s="19"/>
      <c r="V84" s="19">
        <v>0.66200000000000003</v>
      </c>
      <c r="W84" s="19"/>
      <c r="X84" s="19"/>
      <c r="Y84" s="19"/>
      <c r="Z84" s="58">
        <f>G84*P84/100</f>
        <v>40.92</v>
      </c>
      <c r="AA84" s="58">
        <f>I84-AC84</f>
        <v>49.5</v>
      </c>
      <c r="AB84" s="58">
        <f>G84-Z84</f>
        <v>3.0799999999999983</v>
      </c>
      <c r="AC84" s="58">
        <f>I84*Q84/100</f>
        <v>60.5</v>
      </c>
      <c r="AD84" s="59">
        <f>Z84/(Z84+AB84)</f>
        <v>0.93</v>
      </c>
      <c r="AE84" s="59">
        <f>AC84/(AA84+AC84)</f>
        <v>0.55000000000000004</v>
      </c>
      <c r="AF84" s="59">
        <f>Z84/(Z84+AA84)</f>
        <v>0.45255474452554745</v>
      </c>
      <c r="AG84" s="59">
        <f>AC84/(AB84+AC84)</f>
        <v>0.95155709342560557</v>
      </c>
      <c r="AH84" s="59">
        <f>(Z84+AC84)/(Z84+AA84+AB84+AC84)</f>
        <v>0.65857142857142859</v>
      </c>
    </row>
    <row r="85" spans="1:34" ht="18" customHeight="1" x14ac:dyDescent="0.3">
      <c r="A85" s="41">
        <v>2305</v>
      </c>
      <c r="B85" s="23" t="s">
        <v>574</v>
      </c>
      <c r="C85" s="14">
        <v>2005</v>
      </c>
      <c r="D85" s="18" t="str">
        <f>VLOOKUP(A85, '전체 목록(n=66)'!C:F, 4, FALSE)</f>
        <v>오스트리아</v>
      </c>
      <c r="E85" s="6">
        <v>154</v>
      </c>
      <c r="F85" s="6" t="s">
        <v>521</v>
      </c>
      <c r="G85" s="6">
        <v>44</v>
      </c>
      <c r="H85" s="6" t="s">
        <v>522</v>
      </c>
      <c r="I85" s="6">
        <v>110</v>
      </c>
      <c r="J85" s="6" t="s">
        <v>524</v>
      </c>
      <c r="K85" s="6" t="s">
        <v>172</v>
      </c>
      <c r="L85" s="19"/>
      <c r="M85" s="19"/>
      <c r="N85" s="19"/>
      <c r="O85" s="19"/>
      <c r="P85" s="79">
        <v>73</v>
      </c>
      <c r="Q85" s="79">
        <v>56</v>
      </c>
      <c r="R85" s="19"/>
      <c r="S85" s="19"/>
      <c r="T85" s="19"/>
      <c r="U85" s="19"/>
      <c r="V85" s="19">
        <v>0.61</v>
      </c>
      <c r="W85" s="19"/>
      <c r="X85" s="19"/>
      <c r="Y85" s="19"/>
      <c r="Z85" s="58">
        <f>G85*P85/100</f>
        <v>32.119999999999997</v>
      </c>
      <c r="AA85" s="58">
        <f>I85-AC85</f>
        <v>48.4</v>
      </c>
      <c r="AB85" s="58">
        <f>G85-Z85</f>
        <v>11.880000000000003</v>
      </c>
      <c r="AC85" s="58">
        <f>I85*Q85/100</f>
        <v>61.6</v>
      </c>
      <c r="AD85" s="59">
        <f>Z85/(Z85+AB85)</f>
        <v>0.73</v>
      </c>
      <c r="AE85" s="59">
        <f>AC85/(AA85+AC85)</f>
        <v>0.56000000000000005</v>
      </c>
      <c r="AF85" s="59">
        <f>Z85/(Z85+AA85)</f>
        <v>0.39890710382513661</v>
      </c>
      <c r="AG85" s="59">
        <f>AC85/(AB85+AC85)</f>
        <v>0.83832335329341312</v>
      </c>
      <c r="AH85" s="59">
        <f>(Z85+AC85)/(Z85+AA85+AB85+AC85)</f>
        <v>0.60857142857142854</v>
      </c>
    </row>
  </sheetData>
  <sheetProtection algorithmName="SHA-512" hashValue="2F2TWE9ZFgz7N9yG/XsS4L5Qky6l5g0eB8z5414P1ESmHQXO10j0Q/w1GcE/fcb8362O65/gTYAUeM1sWF3Y0A==" saltValue="U0393NZ7LNN2/JF1vt8jOw==" spinCount="100000" sheet="1" objects="1" scenarios="1" selectLockedCells="1" selectUnlockedCells="1"/>
  <mergeCells count="12">
    <mergeCell ref="Z1:AH1"/>
    <mergeCell ref="F2:G2"/>
    <mergeCell ref="H2:I2"/>
    <mergeCell ref="W2:X2"/>
    <mergeCell ref="L1:Y1"/>
    <mergeCell ref="E1:I1"/>
    <mergeCell ref="D1:D3"/>
    <mergeCell ref="C1:C3"/>
    <mergeCell ref="B1:B3"/>
    <mergeCell ref="A1:A3"/>
    <mergeCell ref="K1:K3"/>
    <mergeCell ref="J1:J3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D35:D38 D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5" sqref="B15"/>
    </sheetView>
  </sheetViews>
  <sheetFormatPr defaultRowHeight="16.5" x14ac:dyDescent="0.3"/>
  <cols>
    <col min="2" max="2" width="60.75" customWidth="1"/>
  </cols>
  <sheetData>
    <row r="1" spans="1:2" x14ac:dyDescent="0.3">
      <c r="A1" s="20" t="s">
        <v>35</v>
      </c>
      <c r="B1" s="20" t="s">
        <v>36</v>
      </c>
    </row>
    <row r="2" spans="1:2" x14ac:dyDescent="0.3">
      <c r="A2" s="21"/>
    </row>
    <row r="3" spans="1:2" x14ac:dyDescent="0.3">
      <c r="A3" s="21"/>
      <c r="B3" s="22"/>
    </row>
    <row r="4" spans="1:2" x14ac:dyDescent="0.3">
      <c r="A4" s="21"/>
    </row>
    <row r="5" spans="1:2" x14ac:dyDescent="0.3">
      <c r="A5" s="21"/>
    </row>
    <row r="6" spans="1:2" x14ac:dyDescent="0.3">
      <c r="A6" s="21" t="s">
        <v>449</v>
      </c>
      <c r="B6" s="22" t="s">
        <v>200</v>
      </c>
    </row>
    <row r="7" spans="1:2" x14ac:dyDescent="0.3">
      <c r="A7" s="21" t="s">
        <v>160</v>
      </c>
      <c r="B7" t="s">
        <v>161</v>
      </c>
    </row>
    <row r="8" spans="1:2" x14ac:dyDescent="0.3">
      <c r="A8" s="21" t="s">
        <v>162</v>
      </c>
      <c r="B8" s="22" t="s">
        <v>163</v>
      </c>
    </row>
    <row r="9" spans="1:2" x14ac:dyDescent="0.3">
      <c r="A9" s="21" t="s">
        <v>180</v>
      </c>
      <c r="B9" t="s">
        <v>181</v>
      </c>
    </row>
    <row r="10" spans="1:2" x14ac:dyDescent="0.3">
      <c r="A10" s="21" t="s">
        <v>274</v>
      </c>
      <c r="B10" s="22" t="s">
        <v>313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전체 목록(n=66)</vt:lpstr>
      <vt:lpstr>(1)단독검사_진단정확성</vt:lpstr>
      <vt:lpstr>(2)단독검사_경과추적</vt:lpstr>
      <vt:lpstr>(3)병용검사_진단정확성</vt:lpstr>
      <vt:lpstr>약어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2023-10-11T04:28:22Z</cp:lastPrinted>
  <dcterms:created xsi:type="dcterms:W3CDTF">2023-07-06T08:20:44Z</dcterms:created>
  <dcterms:modified xsi:type="dcterms:W3CDTF">2024-06-24T23:16:05Z</dcterms:modified>
</cp:coreProperties>
</file>