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user" algorithmName="SHA-512" hashValue="Y7uP96FnpQMdduoGtg6mUUUS8z5S14N0ipiuEBafjPdYG7ArHFG0UleX8jJLV8OHBRaJbBZKF/buiI5NbxdLSA==" saltValue="kt2zIpf2DWBTUsm7xAhTlw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담당안건\NR22-001-34_M2BPGi\2_보고서\5_출판준비\도서실제출\"/>
    </mc:Choice>
  </mc:AlternateContent>
  <bookViews>
    <workbookView xWindow="0" yWindow="0" windowWidth="28800" windowHeight="11730" activeTab="4"/>
  </bookViews>
  <sheets>
    <sheet name="기초특성(45편)" sheetId="1" r:id="rId1"/>
    <sheet name="F2" sheetId="10" r:id="rId2"/>
    <sheet name="F3" sheetId="9" r:id="rId3"/>
    <sheet name="F4" sheetId="11" r:id="rId4"/>
    <sheet name="임계값을 보고하지 않은 문헌" sheetId="7" r:id="rId5"/>
  </sheets>
  <definedNames>
    <definedName name="_AMO_UniqueIdentifier" hidden="1">"'c0148110-e8b7-4f53-964e-8082728da9a0'"</definedName>
    <definedName name="_xlnm._FilterDatabase" localSheetId="1" hidden="1">'F2'!#REF!</definedName>
    <definedName name="_xlnm._FilterDatabase" localSheetId="2" hidden="1">'F3'!#REF!</definedName>
    <definedName name="_xlnm._FilterDatabase" localSheetId="3" hidden="1">'F4'!#REF!</definedName>
    <definedName name="_xlnm._FilterDatabase" localSheetId="0" hidden="1">'기초특성(45편)'!$C$1:$L$47</definedName>
    <definedName name="_xlnm._FilterDatabase" localSheetId="4" hidden="1">'임계값을 보고하지 않은 문헌'!#REF!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9" l="1"/>
  <c r="H11" i="9"/>
  <c r="H20" i="7"/>
  <c r="H7" i="7"/>
  <c r="G7" i="7"/>
  <c r="H32" i="11"/>
  <c r="G32" i="9"/>
  <c r="H32" i="9"/>
  <c r="H33" i="10"/>
  <c r="G33" i="10"/>
  <c r="G11" i="10"/>
  <c r="H11" i="10"/>
  <c r="AB24" i="11"/>
  <c r="Z24" i="11" s="1"/>
  <c r="Y24" i="11"/>
  <c r="AA24" i="11" s="1"/>
  <c r="AC24" i="11" s="1"/>
  <c r="AB24" i="9"/>
  <c r="Z24" i="9" s="1"/>
  <c r="Y24" i="9"/>
  <c r="AA24" i="9" s="1"/>
  <c r="AB25" i="10"/>
  <c r="Z25" i="10" s="1"/>
  <c r="Y25" i="10"/>
  <c r="AE24" i="11" l="1"/>
  <c r="AD24" i="11"/>
  <c r="AG24" i="11" s="1"/>
  <c r="AF24" i="11"/>
  <c r="AI24" i="11"/>
  <c r="AJ24" i="11"/>
  <c r="AD24" i="9"/>
  <c r="AJ24" i="9"/>
  <c r="AF24" i="9"/>
  <c r="AC24" i="9"/>
  <c r="AI24" i="9"/>
  <c r="AE24" i="9"/>
  <c r="AA25" i="10"/>
  <c r="AC25" i="10" s="1"/>
  <c r="AE25" i="10"/>
  <c r="AD25" i="10"/>
  <c r="AH24" i="9" l="1"/>
  <c r="AH25" i="10"/>
  <c r="AI25" i="10"/>
  <c r="AH24" i="11"/>
  <c r="AG24" i="9"/>
  <c r="AF25" i="10"/>
  <c r="AJ25" i="10"/>
  <c r="AG25" i="10"/>
  <c r="AB69" i="10"/>
  <c r="Z69" i="10" s="1"/>
  <c r="G69" i="10"/>
  <c r="Y69" i="10" s="1"/>
  <c r="H70" i="9"/>
  <c r="AB70" i="9" s="1"/>
  <c r="G70" i="9"/>
  <c r="Y70" i="9" s="1"/>
  <c r="AB68" i="11"/>
  <c r="Z68" i="11" s="1"/>
  <c r="Y68" i="11"/>
  <c r="AA68" i="11" s="1"/>
  <c r="Y50" i="11"/>
  <c r="AA50" i="11" s="1"/>
  <c r="Y49" i="11"/>
  <c r="AA49" i="11" s="1"/>
  <c r="H50" i="11"/>
  <c r="AB50" i="11" s="1"/>
  <c r="H49" i="11"/>
  <c r="AB49" i="11" s="1"/>
  <c r="H52" i="9"/>
  <c r="AB52" i="9" s="1"/>
  <c r="Z52" i="9" s="1"/>
  <c r="G52" i="9"/>
  <c r="H51" i="9"/>
  <c r="AB51" i="9" s="1"/>
  <c r="G51" i="9"/>
  <c r="Y51" i="9" s="1"/>
  <c r="AA51" i="9" s="1"/>
  <c r="H51" i="10"/>
  <c r="AB51" i="10" s="1"/>
  <c r="G51" i="10"/>
  <c r="Y51" i="10" s="1"/>
  <c r="H50" i="10"/>
  <c r="AB50" i="10" s="1"/>
  <c r="G50" i="10"/>
  <c r="Y50" i="10" s="1"/>
  <c r="Y46" i="11"/>
  <c r="Y45" i="11"/>
  <c r="AA45" i="11" s="1"/>
  <c r="H46" i="11"/>
  <c r="AB46" i="11" s="1"/>
  <c r="H45" i="11"/>
  <c r="AB45" i="11" s="1"/>
  <c r="H48" i="9"/>
  <c r="AB48" i="9" s="1"/>
  <c r="Z48" i="9" s="1"/>
  <c r="G48" i="9"/>
  <c r="H47" i="9"/>
  <c r="AB47" i="9" s="1"/>
  <c r="G47" i="9"/>
  <c r="Y47" i="9" s="1"/>
  <c r="H45" i="9"/>
  <c r="AB45" i="9" s="1"/>
  <c r="G45" i="9"/>
  <c r="Y45" i="9" s="1"/>
  <c r="H44" i="9"/>
  <c r="AB44" i="9" s="1"/>
  <c r="G44" i="9"/>
  <c r="Y44" i="9" s="1"/>
  <c r="AB32" i="9"/>
  <c r="Z32" i="9" s="1"/>
  <c r="Y32" i="9"/>
  <c r="AA32" i="9" s="1"/>
  <c r="Y26" i="11"/>
  <c r="H27" i="10"/>
  <c r="AB27" i="10" s="1"/>
  <c r="G27" i="10"/>
  <c r="Y27" i="10" s="1"/>
  <c r="H26" i="9"/>
  <c r="AB26" i="9" s="1"/>
  <c r="G26" i="9"/>
  <c r="Y26" i="9" s="1"/>
  <c r="H26" i="11"/>
  <c r="AB26" i="11" s="1"/>
  <c r="AB23" i="11"/>
  <c r="Z23" i="11" s="1"/>
  <c r="Y23" i="11"/>
  <c r="AB23" i="9"/>
  <c r="Z23" i="9" s="1"/>
  <c r="Y23" i="9"/>
  <c r="AA23" i="9" s="1"/>
  <c r="AB24" i="10"/>
  <c r="Y24" i="10"/>
  <c r="AA24" i="10" s="1"/>
  <c r="H22" i="10"/>
  <c r="AB22" i="10" s="1"/>
  <c r="G22" i="10"/>
  <c r="Y22" i="10" s="1"/>
  <c r="Y18" i="11"/>
  <c r="AA18" i="11" s="1"/>
  <c r="H18" i="10"/>
  <c r="G18" i="10"/>
  <c r="Y18" i="10" s="1"/>
  <c r="H18" i="9"/>
  <c r="AB18" i="9" s="1"/>
  <c r="G18" i="9"/>
  <c r="H18" i="11"/>
  <c r="AB16" i="10"/>
  <c r="Z16" i="10" s="1"/>
  <c r="Y16" i="10"/>
  <c r="AB14" i="11"/>
  <c r="Y14" i="11"/>
  <c r="AA14" i="11" s="1"/>
  <c r="AB13" i="11"/>
  <c r="Z13" i="11" s="1"/>
  <c r="AD13" i="11" s="1"/>
  <c r="Y13" i="11"/>
  <c r="AA13" i="11" s="1"/>
  <c r="AB14" i="9"/>
  <c r="Z14" i="9" s="1"/>
  <c r="Y14" i="9"/>
  <c r="AA14" i="9" s="1"/>
  <c r="AB13" i="9"/>
  <c r="Z13" i="9" s="1"/>
  <c r="Y13" i="9"/>
  <c r="AB14" i="10"/>
  <c r="Z14" i="10" s="1"/>
  <c r="Y14" i="10"/>
  <c r="AB13" i="10"/>
  <c r="Z13" i="10" s="1"/>
  <c r="Y13" i="10"/>
  <c r="AA13" i="10" s="1"/>
  <c r="Y78" i="11"/>
  <c r="AA78" i="11" s="1"/>
  <c r="H78" i="11"/>
  <c r="Y77" i="11"/>
  <c r="H77" i="11"/>
  <c r="Y76" i="11"/>
  <c r="H76" i="11"/>
  <c r="AB76" i="11" s="1"/>
  <c r="H75" i="11"/>
  <c r="Y74" i="11"/>
  <c r="AA74" i="11" s="1"/>
  <c r="H74" i="11"/>
  <c r="Y70" i="11"/>
  <c r="H70" i="11"/>
  <c r="AB70" i="11" s="1"/>
  <c r="Y69" i="11"/>
  <c r="H69" i="11"/>
  <c r="AB69" i="11" s="1"/>
  <c r="AB67" i="11"/>
  <c r="Z67" i="11" s="1"/>
  <c r="AD67" i="11" s="1"/>
  <c r="Y67" i="11"/>
  <c r="Y64" i="11"/>
  <c r="H64" i="11"/>
  <c r="AB64" i="11" s="1"/>
  <c r="AB63" i="11"/>
  <c r="Y63" i="11"/>
  <c r="Y56" i="11"/>
  <c r="AA56" i="11" s="1"/>
  <c r="H56" i="11"/>
  <c r="AB56" i="11" s="1"/>
  <c r="Y54" i="11"/>
  <c r="H54" i="11"/>
  <c r="Y53" i="11"/>
  <c r="H53" i="11"/>
  <c r="Y52" i="11"/>
  <c r="H52" i="11"/>
  <c r="AB52" i="11" s="1"/>
  <c r="Y51" i="11"/>
  <c r="H51" i="11"/>
  <c r="AB51" i="11" s="1"/>
  <c r="Y48" i="11"/>
  <c r="H48" i="11"/>
  <c r="AB48" i="11" s="1"/>
  <c r="Y47" i="11"/>
  <c r="AA47" i="11" s="1"/>
  <c r="H47" i="11"/>
  <c r="Y44" i="11"/>
  <c r="H44" i="11"/>
  <c r="Y41" i="11"/>
  <c r="H41" i="11"/>
  <c r="AB41" i="11" s="1"/>
  <c r="Y39" i="11"/>
  <c r="H39" i="11"/>
  <c r="AB39" i="11" s="1"/>
  <c r="Y37" i="11"/>
  <c r="H37" i="11"/>
  <c r="H31" i="11"/>
  <c r="Y25" i="11"/>
  <c r="H25" i="11"/>
  <c r="AB25" i="11" s="1"/>
  <c r="AB22" i="11"/>
  <c r="Y22" i="11"/>
  <c r="H21" i="11"/>
  <c r="Y17" i="11"/>
  <c r="H17" i="11"/>
  <c r="Y12" i="11"/>
  <c r="H12" i="11"/>
  <c r="AB12" i="11" s="1"/>
  <c r="Y9" i="11"/>
  <c r="H9" i="11"/>
  <c r="AB9" i="11" s="1"/>
  <c r="H79" i="10"/>
  <c r="AB79" i="10" s="1"/>
  <c r="G79" i="10"/>
  <c r="Y79" i="10" s="1"/>
  <c r="H78" i="10"/>
  <c r="AB78" i="10" s="1"/>
  <c r="Z78" i="10" s="1"/>
  <c r="G78" i="10"/>
  <c r="Y78" i="10" s="1"/>
  <c r="H76" i="10"/>
  <c r="G76" i="10"/>
  <c r="H75" i="10"/>
  <c r="AB75" i="10" s="1"/>
  <c r="Z75" i="10" s="1"/>
  <c r="G75" i="10"/>
  <c r="Y75" i="10" s="1"/>
  <c r="H74" i="10"/>
  <c r="AB74" i="10" s="1"/>
  <c r="G74" i="10"/>
  <c r="Y74" i="10" s="1"/>
  <c r="AB71" i="10"/>
  <c r="Z71" i="10" s="1"/>
  <c r="AD71" i="10" s="1"/>
  <c r="G71" i="10"/>
  <c r="Y71" i="10" s="1"/>
  <c r="AB68" i="10"/>
  <c r="Z68" i="10" s="1"/>
  <c r="G68" i="10"/>
  <c r="Y68" i="10" s="1"/>
  <c r="AA68" i="10" s="1"/>
  <c r="H67" i="10"/>
  <c r="AB67" i="10" s="1"/>
  <c r="G67" i="10"/>
  <c r="Y67" i="10" s="1"/>
  <c r="H66" i="10"/>
  <c r="AB66" i="10" s="1"/>
  <c r="G66" i="10"/>
  <c r="Y66" i="10" s="1"/>
  <c r="H65" i="10"/>
  <c r="AB65" i="10" s="1"/>
  <c r="G65" i="10"/>
  <c r="Y65" i="10" s="1"/>
  <c r="H63" i="10"/>
  <c r="AB63" i="10" s="1"/>
  <c r="G63" i="10"/>
  <c r="Y63" i="10" s="1"/>
  <c r="H57" i="10"/>
  <c r="AB57" i="10" s="1"/>
  <c r="G57" i="10"/>
  <c r="Y57" i="10" s="1"/>
  <c r="H56" i="10"/>
  <c r="AB56" i="10" s="1"/>
  <c r="G56" i="10"/>
  <c r="Y56" i="10" s="1"/>
  <c r="H55" i="10"/>
  <c r="AB55" i="10" s="1"/>
  <c r="G55" i="10"/>
  <c r="Y55" i="10" s="1"/>
  <c r="H54" i="10"/>
  <c r="AB54" i="10" s="1"/>
  <c r="G54" i="10"/>
  <c r="Y54" i="10" s="1"/>
  <c r="H53" i="10"/>
  <c r="AB53" i="10" s="1"/>
  <c r="G53" i="10"/>
  <c r="Y53" i="10" s="1"/>
  <c r="H52" i="10"/>
  <c r="G52" i="10"/>
  <c r="Y52" i="10" s="1"/>
  <c r="H49" i="10"/>
  <c r="AB49" i="10" s="1"/>
  <c r="G49" i="10"/>
  <c r="AB48" i="10"/>
  <c r="G48" i="10"/>
  <c r="Y48" i="10" s="1"/>
  <c r="AB42" i="10"/>
  <c r="G42" i="10"/>
  <c r="Y42" i="10" s="1"/>
  <c r="H40" i="10"/>
  <c r="AB40" i="10" s="1"/>
  <c r="G40" i="10"/>
  <c r="Y40" i="10" s="1"/>
  <c r="H39" i="10"/>
  <c r="AB39" i="10" s="1"/>
  <c r="G39" i="10"/>
  <c r="Y39" i="10" s="1"/>
  <c r="H32" i="10"/>
  <c r="G32" i="10"/>
  <c r="H26" i="10"/>
  <c r="AB26" i="10" s="1"/>
  <c r="G26" i="10"/>
  <c r="Y26" i="10" s="1"/>
  <c r="AB23" i="10"/>
  <c r="Z23" i="10" s="1"/>
  <c r="AD23" i="10" s="1"/>
  <c r="Y23" i="10"/>
  <c r="H21" i="10"/>
  <c r="AB21" i="10" s="1"/>
  <c r="G21" i="10"/>
  <c r="Y21" i="10" s="1"/>
  <c r="H17" i="10"/>
  <c r="AB17" i="10" s="1"/>
  <c r="G17" i="10"/>
  <c r="Y17" i="10" s="1"/>
  <c r="H15" i="10"/>
  <c r="AB15" i="10" s="1"/>
  <c r="G15" i="10"/>
  <c r="Y15" i="10" s="1"/>
  <c r="H12" i="10"/>
  <c r="AB12" i="10" s="1"/>
  <c r="G12" i="10"/>
  <c r="Y12" i="10" s="1"/>
  <c r="H10" i="10"/>
  <c r="AB10" i="10" s="1"/>
  <c r="G10" i="10"/>
  <c r="H9" i="10"/>
  <c r="AB9" i="10" s="1"/>
  <c r="G9" i="10"/>
  <c r="Y9" i="10" s="1"/>
  <c r="H5" i="10"/>
  <c r="G5" i="10"/>
  <c r="AB4" i="10"/>
  <c r="Z4" i="10" s="1"/>
  <c r="AD4" i="10" s="1"/>
  <c r="Y4" i="10"/>
  <c r="AA4" i="10" s="1"/>
  <c r="AB8" i="9"/>
  <c r="Z8" i="9" s="1"/>
  <c r="Y8" i="9"/>
  <c r="AA8" i="9" s="1"/>
  <c r="H80" i="9"/>
  <c r="AB80" i="9" s="1"/>
  <c r="G80" i="9"/>
  <c r="H79" i="9"/>
  <c r="G79" i="9"/>
  <c r="H78" i="9"/>
  <c r="AB78" i="9" s="1"/>
  <c r="G78" i="9"/>
  <c r="H76" i="9"/>
  <c r="G76" i="9"/>
  <c r="Y76" i="9" s="1"/>
  <c r="AB75" i="9"/>
  <c r="Z75" i="9" s="1"/>
  <c r="Y75" i="9"/>
  <c r="AA75" i="9" s="1"/>
  <c r="H74" i="9"/>
  <c r="AB74" i="9" s="1"/>
  <c r="G74" i="9"/>
  <c r="H73" i="9"/>
  <c r="G73" i="9"/>
  <c r="H72" i="9"/>
  <c r="AB72" i="9" s="1"/>
  <c r="Z72" i="9" s="1"/>
  <c r="AD72" i="9" s="1"/>
  <c r="G72" i="9"/>
  <c r="H71" i="9"/>
  <c r="G71" i="9"/>
  <c r="Y71" i="9" s="1"/>
  <c r="H69" i="9"/>
  <c r="AB69" i="9" s="1"/>
  <c r="G69" i="9"/>
  <c r="H66" i="9"/>
  <c r="AB66" i="9" s="1"/>
  <c r="G66" i="9"/>
  <c r="Y66" i="9" s="1"/>
  <c r="H64" i="9"/>
  <c r="AB64" i="9" s="1"/>
  <c r="G64" i="9"/>
  <c r="Y64" i="9" s="1"/>
  <c r="H63" i="9"/>
  <c r="G63" i="9"/>
  <c r="Y63" i="9" s="1"/>
  <c r="AA63" i="9" s="1"/>
  <c r="AB62" i="9"/>
  <c r="Z62" i="9" s="1"/>
  <c r="AD62" i="9" s="1"/>
  <c r="Y62" i="9"/>
  <c r="H61" i="9"/>
  <c r="AB61" i="9" s="1"/>
  <c r="G61" i="9"/>
  <c r="Y61" i="9" s="1"/>
  <c r="AB60" i="9"/>
  <c r="G60" i="9"/>
  <c r="H58" i="9"/>
  <c r="AB58" i="9" s="1"/>
  <c r="Z58" i="9" s="1"/>
  <c r="G58" i="9"/>
  <c r="H56" i="9"/>
  <c r="AB56" i="9" s="1"/>
  <c r="G56" i="9"/>
  <c r="Y56" i="9" s="1"/>
  <c r="H55" i="9"/>
  <c r="G55" i="9"/>
  <c r="Y55" i="9" s="1"/>
  <c r="H54" i="9"/>
  <c r="AB54" i="9" s="1"/>
  <c r="G54" i="9"/>
  <c r="H53" i="9"/>
  <c r="AB53" i="9" s="1"/>
  <c r="G53" i="9"/>
  <c r="Y53" i="9" s="1"/>
  <c r="H50" i="9"/>
  <c r="AB50" i="9" s="1"/>
  <c r="G50" i="9"/>
  <c r="Y50" i="9" s="1"/>
  <c r="H49" i="9"/>
  <c r="AB49" i="9" s="1"/>
  <c r="G49" i="9"/>
  <c r="Y49" i="9" s="1"/>
  <c r="H46" i="9"/>
  <c r="AB46" i="9" s="1"/>
  <c r="G46" i="9"/>
  <c r="Y46" i="9" s="1"/>
  <c r="H43" i="9"/>
  <c r="AB43" i="9" s="1"/>
  <c r="G43" i="9"/>
  <c r="Y43" i="9" s="1"/>
  <c r="H42" i="9"/>
  <c r="AB42" i="9" s="1"/>
  <c r="G42" i="9"/>
  <c r="H41" i="9"/>
  <c r="G41" i="9"/>
  <c r="Y41" i="9" s="1"/>
  <c r="H39" i="9"/>
  <c r="AB39" i="9" s="1"/>
  <c r="G39" i="9"/>
  <c r="Y39" i="9" s="1"/>
  <c r="H38" i="9"/>
  <c r="AB38" i="9" s="1"/>
  <c r="G38" i="9"/>
  <c r="Y38" i="9" s="1"/>
  <c r="H31" i="9"/>
  <c r="AB31" i="9" s="1"/>
  <c r="G31" i="9"/>
  <c r="Y31" i="9" s="1"/>
  <c r="H25" i="9"/>
  <c r="AB25" i="9" s="1"/>
  <c r="G25" i="9"/>
  <c r="Y25" i="9" s="1"/>
  <c r="AB22" i="9"/>
  <c r="Z22" i="9" s="1"/>
  <c r="Y22" i="9"/>
  <c r="H21" i="9"/>
  <c r="G21" i="9"/>
  <c r="H17" i="9"/>
  <c r="G17" i="9"/>
  <c r="Y17" i="9" s="1"/>
  <c r="H12" i="9"/>
  <c r="AB12" i="9" s="1"/>
  <c r="G12" i="9"/>
  <c r="H10" i="9"/>
  <c r="G10" i="9"/>
  <c r="Y10" i="9" s="1"/>
  <c r="H9" i="9"/>
  <c r="AB9" i="9" s="1"/>
  <c r="G9" i="9"/>
  <c r="H7" i="9"/>
  <c r="G7" i="9"/>
  <c r="Y7" i="9" s="1"/>
  <c r="AB6" i="9"/>
  <c r="Z6" i="9" s="1"/>
  <c r="Y6" i="9"/>
  <c r="H5" i="9"/>
  <c r="G5" i="9"/>
  <c r="AB4" i="9"/>
  <c r="Y4" i="9"/>
  <c r="AC68" i="11" l="1"/>
  <c r="AF23" i="9"/>
  <c r="AA74" i="10"/>
  <c r="AC74" i="10" s="1"/>
  <c r="AC13" i="10"/>
  <c r="AB18" i="10"/>
  <c r="AD13" i="10"/>
  <c r="AD14" i="9"/>
  <c r="AC8" i="9"/>
  <c r="AF51" i="9"/>
  <c r="AC14" i="11"/>
  <c r="AE23" i="11"/>
  <c r="AF14" i="11"/>
  <c r="AC45" i="11"/>
  <c r="AF50" i="11"/>
  <c r="AJ68" i="11"/>
  <c r="AJ13" i="11"/>
  <c r="AC18" i="11"/>
  <c r="Z50" i="11"/>
  <c r="AE50" i="11" s="1"/>
  <c r="AD68" i="11"/>
  <c r="AF13" i="11"/>
  <c r="Z14" i="11"/>
  <c r="AI14" i="11" s="1"/>
  <c r="AI68" i="11"/>
  <c r="Z26" i="11"/>
  <c r="AE26" i="11" s="1"/>
  <c r="Z46" i="11"/>
  <c r="AD46" i="11" s="1"/>
  <c r="AF49" i="11"/>
  <c r="Z49" i="11"/>
  <c r="AE49" i="11" s="1"/>
  <c r="AF45" i="11"/>
  <c r="Z45" i="11"/>
  <c r="AE45" i="11" s="1"/>
  <c r="AB18" i="11"/>
  <c r="Z18" i="11" s="1"/>
  <c r="AA39" i="11"/>
  <c r="AC39" i="11" s="1"/>
  <c r="AA54" i="11"/>
  <c r="AC54" i="11" s="1"/>
  <c r="AE13" i="11"/>
  <c r="AA46" i="11"/>
  <c r="AC46" i="11" s="1"/>
  <c r="Z22" i="11"/>
  <c r="AD22" i="11" s="1"/>
  <c r="AA37" i="11"/>
  <c r="AC37" i="11" s="1"/>
  <c r="AA51" i="11"/>
  <c r="AC51" i="11" s="1"/>
  <c r="Z63" i="11"/>
  <c r="AD63" i="11" s="1"/>
  <c r="AD23" i="11"/>
  <c r="AA26" i="11"/>
  <c r="AF26" i="11" s="1"/>
  <c r="AE68" i="11"/>
  <c r="AA17" i="11"/>
  <c r="AC17" i="11" s="1"/>
  <c r="AA22" i="11"/>
  <c r="AJ22" i="11" s="1"/>
  <c r="AC47" i="11"/>
  <c r="AA48" i="11"/>
  <c r="AF48" i="11" s="1"/>
  <c r="AC56" i="11"/>
  <c r="AA63" i="11"/>
  <c r="AC63" i="11" s="1"/>
  <c r="AC74" i="11"/>
  <c r="AC13" i="11"/>
  <c r="AH13" i="11" s="1"/>
  <c r="AI13" i="11"/>
  <c r="AA23" i="11"/>
  <c r="AC23" i="11" s="1"/>
  <c r="AC49" i="11"/>
  <c r="AC50" i="11"/>
  <c r="AF68" i="11"/>
  <c r="AA45" i="9"/>
  <c r="AF45" i="9" s="1"/>
  <c r="AD23" i="9"/>
  <c r="Z47" i="9"/>
  <c r="AE47" i="9" s="1"/>
  <c r="Z51" i="9"/>
  <c r="AD51" i="9" s="1"/>
  <c r="AA70" i="9"/>
  <c r="AC70" i="9" s="1"/>
  <c r="Z45" i="9"/>
  <c r="AD45" i="9" s="1"/>
  <c r="Z70" i="9"/>
  <c r="AD70" i="9" s="1"/>
  <c r="AA44" i="9"/>
  <c r="AC44" i="9" s="1"/>
  <c r="AA47" i="9"/>
  <c r="Y48" i="9"/>
  <c r="AA48" i="9" s="1"/>
  <c r="AF48" i="9" s="1"/>
  <c r="AD48" i="9"/>
  <c r="AE51" i="9"/>
  <c r="Y52" i="9"/>
  <c r="AA52" i="9" s="1"/>
  <c r="AF52" i="9" s="1"/>
  <c r="AD52" i="9"/>
  <c r="Z53" i="9"/>
  <c r="AE53" i="9" s="1"/>
  <c r="AA53" i="9"/>
  <c r="AF53" i="9" s="1"/>
  <c r="AE8" i="9"/>
  <c r="AF14" i="9"/>
  <c r="Z44" i="9"/>
  <c r="AD22" i="9"/>
  <c r="AI75" i="9"/>
  <c r="AD8" i="9"/>
  <c r="AD13" i="9"/>
  <c r="AC14" i="9"/>
  <c r="Y18" i="9"/>
  <c r="AC51" i="9"/>
  <c r="Z56" i="10"/>
  <c r="AD56" i="10" s="1"/>
  <c r="Z66" i="10"/>
  <c r="AI13" i="10"/>
  <c r="AD16" i="10"/>
  <c r="AC24" i="10"/>
  <c r="AA51" i="10"/>
  <c r="AC51" i="10" s="1"/>
  <c r="Z22" i="10"/>
  <c r="AE22" i="10" s="1"/>
  <c r="AJ13" i="10"/>
  <c r="Z54" i="10"/>
  <c r="AE54" i="10" s="1"/>
  <c r="Z63" i="10"/>
  <c r="AE14" i="10"/>
  <c r="AE16" i="10"/>
  <c r="Z24" i="10"/>
  <c r="AE24" i="10" s="1"/>
  <c r="AA22" i="10"/>
  <c r="AC22" i="10" s="1"/>
  <c r="Z27" i="10"/>
  <c r="AD27" i="10" s="1"/>
  <c r="AA18" i="10"/>
  <c r="AC18" i="10" s="1"/>
  <c r="AE68" i="10"/>
  <c r="AA27" i="10"/>
  <c r="Z51" i="10"/>
  <c r="AD51" i="10" s="1"/>
  <c r="AA50" i="10"/>
  <c r="AF50" i="10" s="1"/>
  <c r="AA69" i="10"/>
  <c r="AI69" i="10" s="1"/>
  <c r="AE69" i="10"/>
  <c r="AI4" i="10"/>
  <c r="AF24" i="10"/>
  <c r="AF4" i="10"/>
  <c r="Y10" i="10"/>
  <c r="AA10" i="10" s="1"/>
  <c r="AF10" i="10" s="1"/>
  <c r="AA39" i="10"/>
  <c r="Y49" i="10"/>
  <c r="AA49" i="10" s="1"/>
  <c r="AA78" i="10"/>
  <c r="AC78" i="10" s="1"/>
  <c r="AE13" i="10"/>
  <c r="AD14" i="10"/>
  <c r="AA16" i="10"/>
  <c r="AJ16" i="10" s="1"/>
  <c r="Z50" i="10"/>
  <c r="AA21" i="10"/>
  <c r="AF21" i="10" s="1"/>
  <c r="AC4" i="10"/>
  <c r="AH4" i="10" s="1"/>
  <c r="AE4" i="10"/>
  <c r="AA17" i="10"/>
  <c r="AF17" i="10" s="1"/>
  <c r="AA40" i="10"/>
  <c r="AC40" i="10" s="1"/>
  <c r="AA53" i="10"/>
  <c r="AC53" i="10" s="1"/>
  <c r="AA55" i="10"/>
  <c r="AC55" i="10" s="1"/>
  <c r="AA57" i="10"/>
  <c r="AC57" i="10" s="1"/>
  <c r="AA65" i="10"/>
  <c r="AC65" i="10" s="1"/>
  <c r="AA67" i="10"/>
  <c r="AC67" i="10" s="1"/>
  <c r="AF13" i="10"/>
  <c r="AA14" i="10"/>
  <c r="AC14" i="10" s="1"/>
  <c r="AD69" i="10"/>
  <c r="AA26" i="9"/>
  <c r="AC26" i="9" s="1"/>
  <c r="Z18" i="9"/>
  <c r="AD18" i="9" s="1"/>
  <c r="AJ23" i="9"/>
  <c r="Z26" i="9"/>
  <c r="AE32" i="9"/>
  <c r="AA4" i="9"/>
  <c r="AF4" i="9" s="1"/>
  <c r="AD6" i="9"/>
  <c r="AF32" i="9"/>
  <c r="Y9" i="9"/>
  <c r="AA9" i="9" s="1"/>
  <c r="Z31" i="9"/>
  <c r="AD31" i="9" s="1"/>
  <c r="Z39" i="9"/>
  <c r="AD39" i="9" s="1"/>
  <c r="Y42" i="9"/>
  <c r="AA42" i="9" s="1"/>
  <c r="AC42" i="9" s="1"/>
  <c r="AA43" i="9"/>
  <c r="AF43" i="9" s="1"/>
  <c r="Z46" i="9"/>
  <c r="AD46" i="9" s="1"/>
  <c r="AA56" i="9"/>
  <c r="AF56" i="9" s="1"/>
  <c r="Z64" i="9"/>
  <c r="AD64" i="9" s="1"/>
  <c r="AA66" i="9"/>
  <c r="AF66" i="9" s="1"/>
  <c r="AA71" i="9"/>
  <c r="AC71" i="9" s="1"/>
  <c r="Y73" i="9"/>
  <c r="AJ75" i="9"/>
  <c r="AD75" i="9"/>
  <c r="AI8" i="9"/>
  <c r="AE14" i="9"/>
  <c r="AJ14" i="9"/>
  <c r="AC32" i="9"/>
  <c r="AI32" i="9"/>
  <c r="Z56" i="9"/>
  <c r="AE56" i="9" s="1"/>
  <c r="AF8" i="9"/>
  <c r="AA13" i="9"/>
  <c r="AF13" i="9" s="1"/>
  <c r="AE13" i="9"/>
  <c r="AI14" i="9"/>
  <c r="AE23" i="9"/>
  <c r="Y12" i="9"/>
  <c r="AA12" i="9" s="1"/>
  <c r="AA31" i="9"/>
  <c r="AC31" i="9" s="1"/>
  <c r="AA38" i="9"/>
  <c r="AC38" i="9" s="1"/>
  <c r="AB41" i="9"/>
  <c r="AA50" i="9"/>
  <c r="AC50" i="9" s="1"/>
  <c r="Y58" i="9"/>
  <c r="AA58" i="9" s="1"/>
  <c r="Z61" i="9"/>
  <c r="AD61" i="9" s="1"/>
  <c r="AA76" i="9"/>
  <c r="AC76" i="9" s="1"/>
  <c r="Y79" i="9"/>
  <c r="AA79" i="9" s="1"/>
  <c r="AJ8" i="9"/>
  <c r="AC23" i="9"/>
  <c r="AI23" i="9"/>
  <c r="AD32" i="9"/>
  <c r="AJ32" i="9"/>
  <c r="Z39" i="11"/>
  <c r="AE39" i="11" s="1"/>
  <c r="Z52" i="11"/>
  <c r="AD52" i="11" s="1"/>
  <c r="Z51" i="11"/>
  <c r="AE51" i="11" s="1"/>
  <c r="Z25" i="11"/>
  <c r="Z48" i="11"/>
  <c r="AE48" i="11" s="1"/>
  <c r="Z64" i="11"/>
  <c r="AD64" i="11" s="1"/>
  <c r="Z12" i="11"/>
  <c r="AD12" i="11" s="1"/>
  <c r="Z41" i="11"/>
  <c r="AD41" i="11" s="1"/>
  <c r="AF56" i="11"/>
  <c r="Z56" i="11"/>
  <c r="AE56" i="11" s="1"/>
  <c r="Z76" i="11"/>
  <c r="AD76" i="11" s="1"/>
  <c r="AA9" i="11"/>
  <c r="AF9" i="11" s="1"/>
  <c r="AB44" i="11"/>
  <c r="Z44" i="11" s="1"/>
  <c r="AE44" i="11" s="1"/>
  <c r="AB77" i="11"/>
  <c r="Z77" i="11" s="1"/>
  <c r="AE77" i="11" s="1"/>
  <c r="Z9" i="11"/>
  <c r="AD9" i="11" s="1"/>
  <c r="AB17" i="11"/>
  <c r="AB37" i="11"/>
  <c r="Z37" i="11" s="1"/>
  <c r="AE37" i="11" s="1"/>
  <c r="AB47" i="11"/>
  <c r="Z47" i="11" s="1"/>
  <c r="AE47" i="11" s="1"/>
  <c r="AB54" i="11"/>
  <c r="AB74" i="11"/>
  <c r="AB78" i="11"/>
  <c r="AB53" i="11"/>
  <c r="AA25" i="11"/>
  <c r="AF25" i="11" s="1"/>
  <c r="AA41" i="11"/>
  <c r="AC41" i="11" s="1"/>
  <c r="AA52" i="11"/>
  <c r="AA64" i="11"/>
  <c r="AF64" i="11" s="1"/>
  <c r="AA67" i="11"/>
  <c r="AJ67" i="11" s="1"/>
  <c r="AE67" i="11"/>
  <c r="Z69" i="11"/>
  <c r="AD69" i="11" s="1"/>
  <c r="Z70" i="11"/>
  <c r="AD70" i="11" s="1"/>
  <c r="AA76" i="11"/>
  <c r="AF76" i="11" s="1"/>
  <c r="AC78" i="11"/>
  <c r="AA12" i="11"/>
  <c r="AC12" i="11" s="1"/>
  <c r="AA44" i="11"/>
  <c r="AA53" i="11"/>
  <c r="AC53" i="11" s="1"/>
  <c r="AA69" i="11"/>
  <c r="AC69" i="11" s="1"/>
  <c r="AA70" i="11"/>
  <c r="AC70" i="11" s="1"/>
  <c r="AA77" i="11"/>
  <c r="AC77" i="11" s="1"/>
  <c r="Z9" i="10"/>
  <c r="AD9" i="10" s="1"/>
  <c r="Z39" i="10"/>
  <c r="AE39" i="10" s="1"/>
  <c r="Z17" i="10"/>
  <c r="AE17" i="10" s="1"/>
  <c r="AA9" i="10"/>
  <c r="AF9" i="10" s="1"/>
  <c r="AJ4" i="10"/>
  <c r="Z12" i="10"/>
  <c r="AD12" i="10" s="1"/>
  <c r="Z15" i="10"/>
  <c r="AE15" i="10" s="1"/>
  <c r="AA42" i="10"/>
  <c r="AC42" i="10" s="1"/>
  <c r="AA48" i="10"/>
  <c r="AF48" i="10" s="1"/>
  <c r="AA52" i="10"/>
  <c r="AC52" i="10" s="1"/>
  <c r="AA54" i="10"/>
  <c r="AC54" i="10" s="1"/>
  <c r="AA56" i="10"/>
  <c r="AF56" i="10" s="1"/>
  <c r="AA63" i="10"/>
  <c r="AC63" i="10" s="1"/>
  <c r="AA66" i="10"/>
  <c r="AC66" i="10" s="1"/>
  <c r="AF68" i="10"/>
  <c r="AI68" i="10"/>
  <c r="AD78" i="10"/>
  <c r="Z79" i="10"/>
  <c r="AD79" i="10" s="1"/>
  <c r="AE75" i="10"/>
  <c r="AA12" i="10"/>
  <c r="AF12" i="10" s="1"/>
  <c r="AA15" i="10"/>
  <c r="AC15" i="10" s="1"/>
  <c r="Z26" i="10"/>
  <c r="Z48" i="10"/>
  <c r="Z49" i="10"/>
  <c r="AB52" i="10"/>
  <c r="Z53" i="10"/>
  <c r="AD53" i="10" s="1"/>
  <c r="AD54" i="10"/>
  <c r="Z55" i="10"/>
  <c r="AE55" i="10" s="1"/>
  <c r="Z57" i="10"/>
  <c r="AE57" i="10" s="1"/>
  <c r="Z65" i="10"/>
  <c r="AE65" i="10" s="1"/>
  <c r="Z67" i="10"/>
  <c r="AE67" i="10" s="1"/>
  <c r="AC68" i="10"/>
  <c r="AD68" i="10"/>
  <c r="AA71" i="10"/>
  <c r="AC71" i="10" s="1"/>
  <c r="AA75" i="10"/>
  <c r="AJ75" i="10" s="1"/>
  <c r="AE78" i="10"/>
  <c r="AA79" i="10"/>
  <c r="AF79" i="10" s="1"/>
  <c r="Z10" i="10"/>
  <c r="AD10" i="10" s="1"/>
  <c r="Z21" i="10"/>
  <c r="AD21" i="10" s="1"/>
  <c r="AE23" i="10"/>
  <c r="AA23" i="10"/>
  <c r="AF23" i="10" s="1"/>
  <c r="AA26" i="10"/>
  <c r="AF26" i="10" s="1"/>
  <c r="Z40" i="10"/>
  <c r="Z42" i="10"/>
  <c r="AD42" i="10" s="1"/>
  <c r="AE71" i="10"/>
  <c r="Z74" i="10"/>
  <c r="AD75" i="10"/>
  <c r="AJ68" i="10"/>
  <c r="Y54" i="9"/>
  <c r="AA54" i="9" s="1"/>
  <c r="AF54" i="9" s="1"/>
  <c r="AE6" i="9"/>
  <c r="AA6" i="9"/>
  <c r="AC6" i="9" s="1"/>
  <c r="AB63" i="9"/>
  <c r="Z63" i="9" s="1"/>
  <c r="AE63" i="9" s="1"/>
  <c r="Z69" i="9"/>
  <c r="AD69" i="9" s="1"/>
  <c r="Y80" i="9"/>
  <c r="AA80" i="9" s="1"/>
  <c r="AF80" i="9" s="1"/>
  <c r="Z49" i="9"/>
  <c r="AD49" i="9" s="1"/>
  <c r="AE62" i="9"/>
  <c r="AA62" i="9"/>
  <c r="AC62" i="9" s="1"/>
  <c r="Y74" i="9"/>
  <c r="AA74" i="9" s="1"/>
  <c r="AF74" i="9" s="1"/>
  <c r="Y78" i="9"/>
  <c r="AA78" i="9" s="1"/>
  <c r="AF78" i="9" s="1"/>
  <c r="Z50" i="9"/>
  <c r="Y69" i="9"/>
  <c r="AA69" i="9" s="1"/>
  <c r="AF69" i="9" s="1"/>
  <c r="Z54" i="9"/>
  <c r="AD54" i="9" s="1"/>
  <c r="AD58" i="9"/>
  <c r="Y60" i="9"/>
  <c r="Z4" i="9"/>
  <c r="AA7" i="9"/>
  <c r="AC7" i="9" s="1"/>
  <c r="AA10" i="9"/>
  <c r="AC10" i="9" s="1"/>
  <c r="AA17" i="9"/>
  <c r="AC17" i="9" s="1"/>
  <c r="AE22" i="9"/>
  <c r="AA22" i="9"/>
  <c r="AC22" i="9" s="1"/>
  <c r="Z25" i="9"/>
  <c r="AE25" i="9" s="1"/>
  <c r="Z38" i="9"/>
  <c r="AD38" i="9" s="1"/>
  <c r="AA41" i="9"/>
  <c r="AB7" i="9"/>
  <c r="Z9" i="9"/>
  <c r="AB10" i="9"/>
  <c r="Z12" i="9"/>
  <c r="AD12" i="9" s="1"/>
  <c r="AB17" i="9"/>
  <c r="AA25" i="9"/>
  <c r="Z42" i="9"/>
  <c r="AD42" i="9" s="1"/>
  <c r="Z43" i="9"/>
  <c r="AA49" i="9"/>
  <c r="AB55" i="9"/>
  <c r="Z55" i="9" s="1"/>
  <c r="AA61" i="9"/>
  <c r="AF61" i="9" s="1"/>
  <c r="AC63" i="9"/>
  <c r="AA64" i="9"/>
  <c r="Y72" i="9"/>
  <c r="AA72" i="9" s="1"/>
  <c r="AF72" i="9" s="1"/>
  <c r="AE75" i="9"/>
  <c r="AA39" i="9"/>
  <c r="AF39" i="9" s="1"/>
  <c r="AA46" i="9"/>
  <c r="AF46" i="9" s="1"/>
  <c r="Z66" i="9"/>
  <c r="Z74" i="9"/>
  <c r="AD74" i="9" s="1"/>
  <c r="Z78" i="9"/>
  <c r="AD78" i="9" s="1"/>
  <c r="Z80" i="9"/>
  <c r="AD80" i="9" s="1"/>
  <c r="AA55" i="9"/>
  <c r="AC55" i="9" s="1"/>
  <c r="Z60" i="9"/>
  <c r="AD60" i="9" s="1"/>
  <c r="AB71" i="9"/>
  <c r="AB73" i="9"/>
  <c r="Z73" i="9" s="1"/>
  <c r="AF75" i="9"/>
  <c r="AB76" i="9"/>
  <c r="Z76" i="9" s="1"/>
  <c r="AB79" i="9"/>
  <c r="Z79" i="9" s="1"/>
  <c r="AC75" i="9"/>
  <c r="AI25" i="9" l="1"/>
  <c r="AC66" i="9"/>
  <c r="AI62" i="9"/>
  <c r="AE22" i="11"/>
  <c r="AJ45" i="11"/>
  <c r="AE31" i="9"/>
  <c r="AH51" i="9"/>
  <c r="AC45" i="9"/>
  <c r="AG45" i="9" s="1"/>
  <c r="AH8" i="9"/>
  <c r="AE46" i="9"/>
  <c r="AE49" i="9"/>
  <c r="AC43" i="9"/>
  <c r="AF41" i="9"/>
  <c r="AI43" i="9"/>
  <c r="AF23" i="11"/>
  <c r="AF51" i="11"/>
  <c r="AI22" i="11"/>
  <c r="AE9" i="10"/>
  <c r="AF74" i="10"/>
  <c r="AG8" i="9"/>
  <c r="AI46" i="11"/>
  <c r="AI53" i="9"/>
  <c r="AD53" i="9"/>
  <c r="AC64" i="11"/>
  <c r="AH64" i="11" s="1"/>
  <c r="AE52" i="11"/>
  <c r="AJ14" i="11"/>
  <c r="AI45" i="11"/>
  <c r="AJ52" i="11"/>
  <c r="AH68" i="11"/>
  <c r="AE46" i="11"/>
  <c r="AF62" i="9"/>
  <c r="AH23" i="9"/>
  <c r="AH31" i="9"/>
  <c r="AG46" i="11"/>
  <c r="AE56" i="10"/>
  <c r="AE12" i="10"/>
  <c r="AG13" i="10"/>
  <c r="AG4" i="10"/>
  <c r="AF66" i="10"/>
  <c r="AH78" i="10"/>
  <c r="AF65" i="10"/>
  <c r="AI74" i="10"/>
  <c r="AI40" i="10"/>
  <c r="AJ48" i="10"/>
  <c r="AF51" i="10"/>
  <c r="AI65" i="10"/>
  <c r="AF40" i="10"/>
  <c r="AH13" i="10"/>
  <c r="AI71" i="10"/>
  <c r="AJ53" i="10"/>
  <c r="AI39" i="10"/>
  <c r="AF18" i="10"/>
  <c r="AJ71" i="10"/>
  <c r="AI12" i="10"/>
  <c r="AF69" i="10"/>
  <c r="AI63" i="10"/>
  <c r="AI66" i="10"/>
  <c r="AD57" i="10"/>
  <c r="AG57" i="10" s="1"/>
  <c r="AI57" i="10"/>
  <c r="AF67" i="10"/>
  <c r="AF53" i="10"/>
  <c r="Z18" i="10"/>
  <c r="AE18" i="10" s="1"/>
  <c r="AI67" i="10"/>
  <c r="AJ65" i="10"/>
  <c r="AI48" i="10"/>
  <c r="AE53" i="10"/>
  <c r="AH14" i="10"/>
  <c r="AJ50" i="10"/>
  <c r="AI50" i="10"/>
  <c r="AD22" i="10"/>
  <c r="AG22" i="10" s="1"/>
  <c r="AI22" i="10"/>
  <c r="AJ66" i="10"/>
  <c r="AE48" i="10"/>
  <c r="AJ23" i="10"/>
  <c r="AC12" i="10"/>
  <c r="AG12" i="10" s="1"/>
  <c r="AI78" i="10"/>
  <c r="AD66" i="10"/>
  <c r="AG66" i="10" s="1"/>
  <c r="AD63" i="10"/>
  <c r="AH63" i="10" s="1"/>
  <c r="AJ26" i="10"/>
  <c r="AJ67" i="10"/>
  <c r="AF78" i="10"/>
  <c r="AJ56" i="10"/>
  <c r="AD67" i="10"/>
  <c r="AH67" i="10" s="1"/>
  <c r="AE79" i="10"/>
  <c r="AC50" i="10"/>
  <c r="AJ27" i="10"/>
  <c r="AE73" i="9"/>
  <c r="AE58" i="9"/>
  <c r="AE39" i="9"/>
  <c r="AH14" i="9"/>
  <c r="AI47" i="9"/>
  <c r="AH70" i="9"/>
  <c r="AE79" i="9"/>
  <c r="AI64" i="9"/>
  <c r="AJ49" i="9"/>
  <c r="AE38" i="9"/>
  <c r="AI50" i="9"/>
  <c r="AE45" i="9"/>
  <c r="AJ47" i="9"/>
  <c r="AI45" i="9"/>
  <c r="AF38" i="9"/>
  <c r="AI50" i="11"/>
  <c r="AC67" i="11"/>
  <c r="AH67" i="11" s="1"/>
  <c r="AE64" i="11"/>
  <c r="AE41" i="11"/>
  <c r="AG23" i="11"/>
  <c r="AD45" i="11"/>
  <c r="AH45" i="11" s="1"/>
  <c r="AD26" i="11"/>
  <c r="AF12" i="11"/>
  <c r="AH23" i="11"/>
  <c r="AJ26" i="11"/>
  <c r="AJ46" i="11"/>
  <c r="AF46" i="11"/>
  <c r="AG68" i="11"/>
  <c r="AD14" i="11"/>
  <c r="AD50" i="11"/>
  <c r="AH50" i="11" s="1"/>
  <c r="AC48" i="11"/>
  <c r="AC9" i="11"/>
  <c r="AH9" i="11" s="1"/>
  <c r="AE14" i="11"/>
  <c r="AE69" i="11"/>
  <c r="AE76" i="11"/>
  <c r="AI67" i="11"/>
  <c r="AG13" i="11"/>
  <c r="AJ23" i="11"/>
  <c r="AI23" i="11"/>
  <c r="AJ18" i="11"/>
  <c r="AE18" i="11"/>
  <c r="AG63" i="11"/>
  <c r="AH63" i="11"/>
  <c r="AI44" i="11"/>
  <c r="AF22" i="11"/>
  <c r="AI39" i="11"/>
  <c r="AE12" i="11"/>
  <c r="AJ70" i="11"/>
  <c r="AF63" i="11"/>
  <c r="AI63" i="11"/>
  <c r="AI9" i="11"/>
  <c r="AF67" i="11"/>
  <c r="AF39" i="11"/>
  <c r="AG50" i="11"/>
  <c r="AI49" i="11"/>
  <c r="AC22" i="11"/>
  <c r="AG22" i="11" s="1"/>
  <c r="AJ63" i="11"/>
  <c r="AD49" i="11"/>
  <c r="AG49" i="11" s="1"/>
  <c r="AE70" i="11"/>
  <c r="AI76" i="11"/>
  <c r="AI64" i="11"/>
  <c r="AI52" i="11"/>
  <c r="AE63" i="11"/>
  <c r="AJ76" i="11"/>
  <c r="AJ41" i="11"/>
  <c r="AJ12" i="11"/>
  <c r="AF70" i="11"/>
  <c r="AI12" i="11"/>
  <c r="AI26" i="11"/>
  <c r="AC26" i="11"/>
  <c r="AJ25" i="11"/>
  <c r="AD25" i="11"/>
  <c r="AH46" i="11"/>
  <c r="AD18" i="11"/>
  <c r="AI18" i="11"/>
  <c r="AF18" i="11"/>
  <c r="AJ50" i="9"/>
  <c r="AI26" i="9"/>
  <c r="AG51" i="9"/>
  <c r="AA18" i="9"/>
  <c r="AF18" i="9" s="1"/>
  <c r="AF44" i="9"/>
  <c r="AF70" i="9"/>
  <c r="AI51" i="9"/>
  <c r="AJ51" i="9"/>
  <c r="AD47" i="9"/>
  <c r="AI70" i="9"/>
  <c r="AC4" i="9"/>
  <c r="AJ44" i="9"/>
  <c r="AJ45" i="9"/>
  <c r="AC12" i="9"/>
  <c r="AH12" i="9" s="1"/>
  <c r="AF12" i="9"/>
  <c r="AE50" i="9"/>
  <c r="AD50" i="9"/>
  <c r="AH50" i="9" s="1"/>
  <c r="AC13" i="9"/>
  <c r="AE52" i="9"/>
  <c r="AI52" i="9"/>
  <c r="AC52" i="9"/>
  <c r="AJ52" i="9"/>
  <c r="AI44" i="9"/>
  <c r="AF64" i="9"/>
  <c r="AI56" i="9"/>
  <c r="AF50" i="9"/>
  <c r="AG23" i="9"/>
  <c r="AH32" i="9"/>
  <c r="AG14" i="9"/>
  <c r="AF26" i="9"/>
  <c r="AE18" i="9"/>
  <c r="AD44" i="9"/>
  <c r="AG44" i="9" s="1"/>
  <c r="AC47" i="9"/>
  <c r="AE44" i="9"/>
  <c r="AE70" i="9"/>
  <c r="AI13" i="9"/>
  <c r="AJ26" i="9"/>
  <c r="AC48" i="9"/>
  <c r="AE48" i="9"/>
  <c r="AI48" i="9"/>
  <c r="AJ48" i="9"/>
  <c r="AC53" i="9"/>
  <c r="AC56" i="9"/>
  <c r="AI55" i="9"/>
  <c r="AJ56" i="9"/>
  <c r="AJ13" i="9"/>
  <c r="AD26" i="9"/>
  <c r="AH26" i="9" s="1"/>
  <c r="AE64" i="9"/>
  <c r="AG70" i="9"/>
  <c r="AF47" i="9"/>
  <c r="AJ70" i="9"/>
  <c r="AF63" i="10"/>
  <c r="AE50" i="10"/>
  <c r="AI27" i="10"/>
  <c r="AE66" i="10"/>
  <c r="AE63" i="10"/>
  <c r="AI55" i="10"/>
  <c r="AF57" i="10"/>
  <c r="AF55" i="10"/>
  <c r="AD17" i="10"/>
  <c r="AF39" i="10"/>
  <c r="AJ12" i="10"/>
  <c r="AI24" i="10"/>
  <c r="AC27" i="10"/>
  <c r="AD50" i="10"/>
  <c r="AD24" i="10"/>
  <c r="AG24" i="10" s="1"/>
  <c r="AE26" i="10"/>
  <c r="AI17" i="10"/>
  <c r="AJ24" i="10"/>
  <c r="AE27" i="10"/>
  <c r="AC49" i="10"/>
  <c r="AF49" i="10"/>
  <c r="AH51" i="10"/>
  <c r="AG51" i="10"/>
  <c r="AC48" i="10"/>
  <c r="AC10" i="10"/>
  <c r="AH10" i="10" s="1"/>
  <c r="AJ69" i="10"/>
  <c r="AI51" i="10"/>
  <c r="AI53" i="10"/>
  <c r="AJ55" i="10"/>
  <c r="AD48" i="10"/>
  <c r="AE21" i="10"/>
  <c r="AJ10" i="10"/>
  <c r="AD65" i="10"/>
  <c r="AH65" i="10" s="1"/>
  <c r="AJ15" i="10"/>
  <c r="AF71" i="10"/>
  <c r="AC39" i="10"/>
  <c r="AG14" i="10"/>
  <c r="AJ51" i="10"/>
  <c r="AI16" i="10"/>
  <c r="AC16" i="10"/>
  <c r="AI14" i="10"/>
  <c r="AF14" i="10"/>
  <c r="AC69" i="10"/>
  <c r="AE51" i="10"/>
  <c r="AF27" i="10"/>
  <c r="AJ22" i="10"/>
  <c r="AJ79" i="10"/>
  <c r="AI56" i="10"/>
  <c r="AI23" i="10"/>
  <c r="AI79" i="10"/>
  <c r="AJ78" i="10"/>
  <c r="AI49" i="10"/>
  <c r="AE42" i="10"/>
  <c r="AI21" i="10"/>
  <c r="AC79" i="10"/>
  <c r="AG79" i="10" s="1"/>
  <c r="AJ57" i="10"/>
  <c r="AE49" i="10"/>
  <c r="AC17" i="10"/>
  <c r="AJ17" i="10"/>
  <c r="AF16" i="10"/>
  <c r="AJ14" i="10"/>
  <c r="AF22" i="10"/>
  <c r="AC56" i="10"/>
  <c r="AG56" i="10" s="1"/>
  <c r="AC21" i="10"/>
  <c r="AH21" i="10" s="1"/>
  <c r="AF15" i="10"/>
  <c r="AC58" i="9"/>
  <c r="AG58" i="9" s="1"/>
  <c r="AJ58" i="9"/>
  <c r="AF58" i="9"/>
  <c r="AI58" i="9"/>
  <c r="AC9" i="9"/>
  <c r="AF9" i="9"/>
  <c r="Z41" i="9"/>
  <c r="AI41" i="9" s="1"/>
  <c r="AE61" i="9"/>
  <c r="AJ42" i="9"/>
  <c r="AJ9" i="9"/>
  <c r="AG38" i="9"/>
  <c r="AF31" i="9"/>
  <c r="AA73" i="9"/>
  <c r="AC73" i="9" s="1"/>
  <c r="AE26" i="9"/>
  <c r="Z10" i="9"/>
  <c r="AE10" i="9" s="1"/>
  <c r="AJ12" i="9"/>
  <c r="AC79" i="9"/>
  <c r="AI31" i="9"/>
  <c r="AJ66" i="9"/>
  <c r="AJ61" i="9"/>
  <c r="AI49" i="9"/>
  <c r="AJ31" i="9"/>
  <c r="AF6" i="9"/>
  <c r="AJ25" i="9"/>
  <c r="AH58" i="9"/>
  <c r="AF42" i="9"/>
  <c r="AJ63" i="9"/>
  <c r="AJ62" i="9"/>
  <c r="AJ6" i="9"/>
  <c r="AG32" i="9"/>
  <c r="AD56" i="9"/>
  <c r="AH12" i="11"/>
  <c r="AG12" i="11"/>
  <c r="AG41" i="11"/>
  <c r="AH41" i="11"/>
  <c r="AH69" i="11"/>
  <c r="AG69" i="11"/>
  <c r="AC25" i="11"/>
  <c r="AI25" i="11"/>
  <c r="AF53" i="11"/>
  <c r="AJ37" i="11"/>
  <c r="AF17" i="11"/>
  <c r="AC76" i="11"/>
  <c r="AJ9" i="11"/>
  <c r="AJ64" i="11"/>
  <c r="AF41" i="11"/>
  <c r="AI77" i="11"/>
  <c r="Z53" i="11"/>
  <c r="AD53" i="11" s="1"/>
  <c r="AH53" i="11" s="1"/>
  <c r="AI48" i="11"/>
  <c r="AI51" i="11"/>
  <c r="AF52" i="11"/>
  <c r="AJ39" i="11"/>
  <c r="AI41" i="11"/>
  <c r="AE25" i="11"/>
  <c r="AC52" i="11"/>
  <c r="AF74" i="11"/>
  <c r="AJ47" i="11"/>
  <c r="AD37" i="11"/>
  <c r="AI37" i="11"/>
  <c r="AF37" i="11"/>
  <c r="AF44" i="11"/>
  <c r="AD44" i="11"/>
  <c r="AJ44" i="11"/>
  <c r="Z78" i="11"/>
  <c r="AE78" i="11" s="1"/>
  <c r="Z74" i="11"/>
  <c r="AI74" i="11" s="1"/>
  <c r="AD56" i="11"/>
  <c r="AJ56" i="11"/>
  <c r="AI70" i="11"/>
  <c r="AD51" i="11"/>
  <c r="AI69" i="11"/>
  <c r="Z54" i="11"/>
  <c r="AE54" i="11" s="1"/>
  <c r="AD39" i="11"/>
  <c r="Z17" i="11"/>
  <c r="AI17" i="11" s="1"/>
  <c r="AF78" i="11"/>
  <c r="AH70" i="11"/>
  <c r="AG70" i="11"/>
  <c r="AD47" i="11"/>
  <c r="AI47" i="11"/>
  <c r="AF47" i="11"/>
  <c r="AE9" i="11"/>
  <c r="AF69" i="11"/>
  <c r="AI56" i="11"/>
  <c r="AD48" i="11"/>
  <c r="AF54" i="11"/>
  <c r="AC44" i="11"/>
  <c r="AD77" i="11"/>
  <c r="AH77" i="11" s="1"/>
  <c r="AJ77" i="11"/>
  <c r="AF77" i="11"/>
  <c r="AJ51" i="11"/>
  <c r="AG54" i="10"/>
  <c r="AH54" i="10"/>
  <c r="AH12" i="10"/>
  <c r="AF52" i="10"/>
  <c r="AE40" i="10"/>
  <c r="AJ42" i="10"/>
  <c r="AE74" i="10"/>
  <c r="AI54" i="10"/>
  <c r="AI42" i="10"/>
  <c r="AJ40" i="10"/>
  <c r="AJ21" i="10"/>
  <c r="AE10" i="10"/>
  <c r="AI75" i="10"/>
  <c r="AI15" i="10"/>
  <c r="AH53" i="10"/>
  <c r="AG53" i="10"/>
  <c r="AJ49" i="10"/>
  <c r="AD26" i="10"/>
  <c r="AC9" i="10"/>
  <c r="AJ39" i="10"/>
  <c r="AJ74" i="10"/>
  <c r="AH66" i="10"/>
  <c r="AI26" i="10"/>
  <c r="AF75" i="10"/>
  <c r="AJ63" i="10"/>
  <c r="AJ54" i="10"/>
  <c r="AC75" i="10"/>
  <c r="AD40" i="10"/>
  <c r="AI10" i="10"/>
  <c r="AD55" i="10"/>
  <c r="AH55" i="10" s="1"/>
  <c r="AC26" i="10"/>
  <c r="AD49" i="10"/>
  <c r="AG78" i="10"/>
  <c r="AI9" i="10"/>
  <c r="AF42" i="10"/>
  <c r="AD39" i="10"/>
  <c r="AC23" i="10"/>
  <c r="AD15" i="10"/>
  <c r="AH15" i="10" s="1"/>
  <c r="AH42" i="10"/>
  <c r="AG42" i="10"/>
  <c r="AD74" i="10"/>
  <c r="AG74" i="10" s="1"/>
  <c r="AG68" i="10"/>
  <c r="AH68" i="10"/>
  <c r="AF54" i="10"/>
  <c r="Z52" i="10"/>
  <c r="AE52" i="10" s="1"/>
  <c r="AJ9" i="10"/>
  <c r="AH71" i="10"/>
  <c r="AG71" i="10"/>
  <c r="AI76" i="9"/>
  <c r="AE76" i="9"/>
  <c r="AH42" i="9"/>
  <c r="AG42" i="9"/>
  <c r="AF7" i="9"/>
  <c r="AJ76" i="9"/>
  <c r="AD73" i="9"/>
  <c r="AI79" i="9"/>
  <c r="AE42" i="9"/>
  <c r="Z71" i="9"/>
  <c r="AE71" i="9" s="1"/>
  <c r="AF55" i="9"/>
  <c r="AD55" i="9"/>
  <c r="AG55" i="9" s="1"/>
  <c r="AI46" i="9"/>
  <c r="AF10" i="9"/>
  <c r="AE4" i="9"/>
  <c r="AI4" i="9"/>
  <c r="AF49" i="9"/>
  <c r="AC49" i="9"/>
  <c r="AC25" i="9"/>
  <c r="AD9" i="9"/>
  <c r="AC41" i="9"/>
  <c r="AI66" i="9"/>
  <c r="AE9" i="9"/>
  <c r="AJ80" i="9"/>
  <c r="AC80" i="9"/>
  <c r="AI80" i="9"/>
  <c r="AE80" i="9"/>
  <c r="AC64" i="9"/>
  <c r="AI61" i="9"/>
  <c r="AH6" i="9"/>
  <c r="AG6" i="9"/>
  <c r="AD25" i="9"/>
  <c r="AJ4" i="9"/>
  <c r="AG75" i="9"/>
  <c r="AH75" i="9"/>
  <c r="AD76" i="9"/>
  <c r="AF76" i="9"/>
  <c r="AI42" i="9"/>
  <c r="AJ39" i="9"/>
  <c r="AF17" i="9"/>
  <c r="AF25" i="9"/>
  <c r="AI22" i="9"/>
  <c r="AD4" i="9"/>
  <c r="Z17" i="9"/>
  <c r="AI17" i="9" s="1"/>
  <c r="Z7" i="9"/>
  <c r="AE7" i="9" s="1"/>
  <c r="AJ69" i="9"/>
  <c r="AC69" i="9"/>
  <c r="AI69" i="9"/>
  <c r="AE69" i="9"/>
  <c r="AJ55" i="9"/>
  <c r="AJ78" i="9"/>
  <c r="AC78" i="9"/>
  <c r="AI78" i="9"/>
  <c r="AE78" i="9"/>
  <c r="AE66" i="9"/>
  <c r="AH62" i="9"/>
  <c r="AG62" i="9"/>
  <c r="AI39" i="9"/>
  <c r="AE12" i="9"/>
  <c r="AI9" i="9"/>
  <c r="AJ64" i="9"/>
  <c r="AC61" i="9"/>
  <c r="AI6" i="9"/>
  <c r="AC54" i="9"/>
  <c r="AJ54" i="9"/>
  <c r="AE54" i="9"/>
  <c r="AI54" i="9"/>
  <c r="AG31" i="9"/>
  <c r="AD79" i="9"/>
  <c r="AF79" i="9"/>
  <c r="AJ79" i="9"/>
  <c r="AF71" i="9"/>
  <c r="AJ72" i="9"/>
  <c r="AC72" i="9"/>
  <c r="AI72" i="9"/>
  <c r="AE72" i="9"/>
  <c r="AC46" i="9"/>
  <c r="AD43" i="9"/>
  <c r="AJ43" i="9"/>
  <c r="AE43" i="9"/>
  <c r="AI38" i="9"/>
  <c r="AH38" i="9"/>
  <c r="AJ22" i="9"/>
  <c r="AD66" i="9"/>
  <c r="AE55" i="9"/>
  <c r="AF22" i="9"/>
  <c r="AI12" i="9"/>
  <c r="AD63" i="9"/>
  <c r="AG63" i="9" s="1"/>
  <c r="AF63" i="9"/>
  <c r="AI63" i="9"/>
  <c r="AG22" i="9"/>
  <c r="AH22" i="9"/>
  <c r="AE60" i="9"/>
  <c r="AA60" i="9"/>
  <c r="AF60" i="9" s="1"/>
  <c r="AJ74" i="9"/>
  <c r="AC74" i="9"/>
  <c r="AI74" i="9"/>
  <c r="AE74" i="9"/>
  <c r="AC39" i="9"/>
  <c r="AJ46" i="9"/>
  <c r="H5" i="7"/>
  <c r="G5" i="7"/>
  <c r="AH53" i="9" l="1"/>
  <c r="AG64" i="11"/>
  <c r="AH66" i="9"/>
  <c r="AG9" i="11"/>
  <c r="AG67" i="11"/>
  <c r="AG45" i="11"/>
  <c r="AH49" i="11"/>
  <c r="AH45" i="9"/>
  <c r="AG43" i="9"/>
  <c r="AG12" i="9"/>
  <c r="AD71" i="9"/>
  <c r="AH47" i="9"/>
  <c r="AH39" i="10"/>
  <c r="AG63" i="10"/>
  <c r="AF73" i="9"/>
  <c r="AD74" i="11"/>
  <c r="AH74" i="11" s="1"/>
  <c r="AH79" i="10"/>
  <c r="AH56" i="9"/>
  <c r="AH57" i="10"/>
  <c r="AG17" i="10"/>
  <c r="AG21" i="10"/>
  <c r="AH22" i="10"/>
  <c r="AG67" i="10"/>
  <c r="AG39" i="10"/>
  <c r="AH48" i="10"/>
  <c r="AG50" i="10"/>
  <c r="AI18" i="10"/>
  <c r="AH56" i="10"/>
  <c r="AJ18" i="10"/>
  <c r="AH17" i="10"/>
  <c r="AH50" i="10"/>
  <c r="AD18" i="10"/>
  <c r="AG66" i="9"/>
  <c r="AG56" i="9"/>
  <c r="AJ7" i="9"/>
  <c r="AG50" i="9"/>
  <c r="AI18" i="9"/>
  <c r="AD54" i="11"/>
  <c r="AG54" i="11" s="1"/>
  <c r="AG14" i="11"/>
  <c r="AH14" i="11"/>
  <c r="AH22" i="11"/>
  <c r="AG18" i="11"/>
  <c r="AH18" i="11"/>
  <c r="AH26" i="11"/>
  <c r="AG26" i="11"/>
  <c r="AH44" i="9"/>
  <c r="AG26" i="9"/>
  <c r="AC18" i="9"/>
  <c r="AJ18" i="9"/>
  <c r="AI60" i="9"/>
  <c r="AI73" i="9"/>
  <c r="AG47" i="9"/>
  <c r="AH13" i="9"/>
  <c r="AG13" i="9"/>
  <c r="AI7" i="9"/>
  <c r="AJ73" i="9"/>
  <c r="AH48" i="9"/>
  <c r="AG48" i="9"/>
  <c r="AH52" i="9"/>
  <c r="AG52" i="9"/>
  <c r="AG15" i="10"/>
  <c r="AG55" i="10"/>
  <c r="AG48" i="10"/>
  <c r="AH27" i="10"/>
  <c r="AG27" i="10"/>
  <c r="AH24" i="10"/>
  <c r="AG10" i="10"/>
  <c r="AG65" i="10"/>
  <c r="AH74" i="10"/>
  <c r="AG69" i="10"/>
  <c r="AH69" i="10"/>
  <c r="AH16" i="10"/>
  <c r="AG16" i="10"/>
  <c r="AD17" i="9"/>
  <c r="AH17" i="9" s="1"/>
  <c r="AD10" i="9"/>
  <c r="AH10" i="9" s="1"/>
  <c r="AE41" i="9"/>
  <c r="AD41" i="9"/>
  <c r="AG41" i="9" s="1"/>
  <c r="AJ10" i="9"/>
  <c r="AJ60" i="9"/>
  <c r="AH43" i="9"/>
  <c r="AI10" i="9"/>
  <c r="AI71" i="9"/>
  <c r="AJ41" i="9"/>
  <c r="AG77" i="11"/>
  <c r="AH44" i="11"/>
  <c r="AG44" i="11"/>
  <c r="AH48" i="11"/>
  <c r="AG48" i="11"/>
  <c r="AG53" i="11"/>
  <c r="AE17" i="11"/>
  <c r="AJ17" i="11"/>
  <c r="AG51" i="11"/>
  <c r="AH51" i="11"/>
  <c r="AH56" i="11"/>
  <c r="AG56" i="11"/>
  <c r="AH37" i="11"/>
  <c r="AG37" i="11"/>
  <c r="AJ54" i="11"/>
  <c r="AH76" i="11"/>
  <c r="AG76" i="11"/>
  <c r="AI54" i="11"/>
  <c r="AH47" i="11"/>
  <c r="AG47" i="11"/>
  <c r="AD78" i="11"/>
  <c r="AH78" i="11" s="1"/>
  <c r="AG39" i="11"/>
  <c r="AH39" i="11"/>
  <c r="AE74" i="11"/>
  <c r="AJ74" i="11"/>
  <c r="AH52" i="11"/>
  <c r="AG52" i="11"/>
  <c r="AI53" i="11"/>
  <c r="AE53" i="11"/>
  <c r="AD17" i="11"/>
  <c r="AJ53" i="11"/>
  <c r="AH25" i="11"/>
  <c r="AG25" i="11"/>
  <c r="AI78" i="11"/>
  <c r="AH23" i="10"/>
  <c r="AG23" i="10"/>
  <c r="AG9" i="10"/>
  <c r="AH9" i="10"/>
  <c r="AG49" i="10"/>
  <c r="AH49" i="10"/>
  <c r="AG40" i="10"/>
  <c r="AH40" i="10"/>
  <c r="AD52" i="10"/>
  <c r="AH52" i="10" s="1"/>
  <c r="AG26" i="10"/>
  <c r="AH26" i="10"/>
  <c r="AG75" i="10"/>
  <c r="AH75" i="10"/>
  <c r="AI52" i="10"/>
  <c r="AH46" i="9"/>
  <c r="AG46" i="9"/>
  <c r="AH25" i="9"/>
  <c r="AG25" i="9"/>
  <c r="AH63" i="9"/>
  <c r="AG74" i="9"/>
  <c r="AH74" i="9"/>
  <c r="AG54" i="9"/>
  <c r="AH54" i="9"/>
  <c r="AG78" i="9"/>
  <c r="AH78" i="9"/>
  <c r="AG49" i="9"/>
  <c r="AH49" i="9"/>
  <c r="AD7" i="9"/>
  <c r="AH55" i="9"/>
  <c r="AC60" i="9"/>
  <c r="AH79" i="9"/>
  <c r="AG79" i="9"/>
  <c r="AE17" i="9"/>
  <c r="AJ17" i="9"/>
  <c r="AG80" i="9"/>
  <c r="AH80" i="9"/>
  <c r="AG73" i="9"/>
  <c r="AH73" i="9"/>
  <c r="AH39" i="9"/>
  <c r="AG39" i="9"/>
  <c r="AG72" i="9"/>
  <c r="AH72" i="9"/>
  <c r="AH71" i="9"/>
  <c r="AG71" i="9"/>
  <c r="AH61" i="9"/>
  <c r="AG61" i="9"/>
  <c r="AG69" i="9"/>
  <c r="AH69" i="9"/>
  <c r="AH4" i="9"/>
  <c r="AG4" i="9"/>
  <c r="AH76" i="9"/>
  <c r="AG76" i="9"/>
  <c r="AH64" i="9"/>
  <c r="AG64" i="9"/>
  <c r="AH9" i="9"/>
  <c r="AG9" i="9"/>
  <c r="AJ71" i="9"/>
  <c r="AG74" i="11" l="1"/>
  <c r="AH54" i="11"/>
  <c r="AG18" i="10"/>
  <c r="AH18" i="10"/>
  <c r="AG18" i="9"/>
  <c r="AH18" i="9"/>
  <c r="AG17" i="9"/>
  <c r="AG10" i="9"/>
  <c r="AH41" i="9"/>
  <c r="AG17" i="11"/>
  <c r="AH17" i="11"/>
  <c r="AH7" i="9"/>
  <c r="AG7" i="9"/>
  <c r="AH60" i="9"/>
  <c r="AG60" i="9"/>
  <c r="H18" i="7"/>
  <c r="G16" i="7"/>
  <c r="H16" i="7"/>
  <c r="H25" i="7"/>
  <c r="G13" i="7"/>
  <c r="H13" i="7"/>
  <c r="H19" i="7" l="1"/>
  <c r="H6" i="7"/>
  <c r="G6" i="7"/>
</calcChain>
</file>

<file path=xl/sharedStrings.xml><?xml version="1.0" encoding="utf-8"?>
<sst xmlns="http://schemas.openxmlformats.org/spreadsheetml/2006/main" count="3569" uniqueCount="412">
  <si>
    <t>연번</t>
    <phoneticPr fontId="2" type="noConversion"/>
  </si>
  <si>
    <t>Etiology</t>
    <phoneticPr fontId="2" type="noConversion"/>
  </si>
  <si>
    <t>Jang(2022)</t>
    <phoneticPr fontId="2" type="noConversion"/>
  </si>
  <si>
    <t>없음</t>
    <phoneticPr fontId="2" type="noConversion"/>
  </si>
  <si>
    <t>AUC, SN, SP, PPV, NPV, accuracy</t>
    <phoneticPr fontId="2" type="noConversion"/>
  </si>
  <si>
    <t>F≥1, F≥2, F≥3</t>
    <phoneticPr fontId="2" type="noConversion"/>
  </si>
  <si>
    <t>만성 C형 간염</t>
    <phoneticPr fontId="2" type="noConversion"/>
  </si>
  <si>
    <t>AUC, SN, SP</t>
    <phoneticPr fontId="2" type="noConversion"/>
  </si>
  <si>
    <t>Tangvoraphonkchai(2022)</t>
  </si>
  <si>
    <t>Fibroscan</t>
    <phoneticPr fontId="2" type="noConversion"/>
  </si>
  <si>
    <t>AUROC</t>
    <phoneticPr fontId="2" type="noConversion"/>
  </si>
  <si>
    <t>Behairy(2021)</t>
  </si>
  <si>
    <t>SN, SP, PPV, NPV, AUC</t>
    <phoneticPr fontId="2" type="noConversion"/>
  </si>
  <si>
    <t>Ishak scoring system</t>
    <phoneticPr fontId="2" type="noConversion"/>
  </si>
  <si>
    <t>Fujinaga(2021)</t>
  </si>
  <si>
    <t>ELF score</t>
    <phoneticPr fontId="2" type="noConversion"/>
  </si>
  <si>
    <t>SN, SP, PPV, NPV, accuracy</t>
    <phoneticPr fontId="2" type="noConversion"/>
  </si>
  <si>
    <t>Jang(2021)</t>
    <phoneticPr fontId="2" type="noConversion"/>
  </si>
  <si>
    <t>NAFLD</t>
    <phoneticPr fontId="2" type="noConversion"/>
  </si>
  <si>
    <t xml:space="preserve">F&gt;0, F&gt;1, F&gt;2, F&gt;3 </t>
    <phoneticPr fontId="2" type="noConversion"/>
  </si>
  <si>
    <t>Kimura(2021)</t>
    <phoneticPr fontId="2" type="noConversion"/>
  </si>
  <si>
    <t>AUROC, SN, SP, PPV, NPV, PLR, NLR</t>
    <phoneticPr fontId="2" type="noConversion"/>
  </si>
  <si>
    <t>Numao(2021)</t>
    <phoneticPr fontId="2" type="noConversion"/>
  </si>
  <si>
    <t>SN, SP, AUROC</t>
    <phoneticPr fontId="2" type="noConversion"/>
  </si>
  <si>
    <t>≥F2, ≥F3, F4</t>
    <phoneticPr fontId="2" type="noConversion"/>
  </si>
  <si>
    <t>Sasaki(2021)</t>
    <phoneticPr fontId="2" type="noConversion"/>
  </si>
  <si>
    <t>AUROC, SN, SP, PPV, NPV</t>
    <phoneticPr fontId="2" type="noConversion"/>
  </si>
  <si>
    <t>≥F2</t>
    <phoneticPr fontId="2" type="noConversion"/>
  </si>
  <si>
    <t>Sato(2021)</t>
    <phoneticPr fontId="2" type="noConversion"/>
  </si>
  <si>
    <t>MRE</t>
    <phoneticPr fontId="2" type="noConversion"/>
  </si>
  <si>
    <t>SN, SP</t>
    <phoneticPr fontId="2" type="noConversion"/>
  </si>
  <si>
    <t>Lee(2020)</t>
    <phoneticPr fontId="2" type="noConversion"/>
  </si>
  <si>
    <t>Tsuji(2020)</t>
    <phoneticPr fontId="2" type="noConversion"/>
  </si>
  <si>
    <t>만성 B형 간염</t>
    <phoneticPr fontId="2" type="noConversion"/>
  </si>
  <si>
    <t>METAVIR scoring system</t>
    <phoneticPr fontId="2" type="noConversion"/>
  </si>
  <si>
    <t>Ueda(2020)</t>
  </si>
  <si>
    <t>AUC, SN, SP, PPV, NPV</t>
    <phoneticPr fontId="2" type="noConversion"/>
  </si>
  <si>
    <t>Wu(2020)</t>
    <phoneticPr fontId="2" type="noConversion"/>
  </si>
  <si>
    <t>Chen(2019)</t>
  </si>
  <si>
    <t>F0–F1 vs. F2–F4, F0–F2 vs. F3–F4, F0–F3 vs. F4</t>
    <phoneticPr fontId="2" type="noConversion"/>
  </si>
  <si>
    <t>Hiyoshi(2019)</t>
    <phoneticPr fontId="2" type="noConversion"/>
  </si>
  <si>
    <t>AUROC, SN, SP</t>
    <phoneticPr fontId="2" type="noConversion"/>
  </si>
  <si>
    <t>stage 4 hepatic fibrosis</t>
    <phoneticPr fontId="2" type="noConversion"/>
  </si>
  <si>
    <t>Yamada(2019)</t>
    <phoneticPr fontId="2" type="noConversion"/>
  </si>
  <si>
    <t>Yeh (2019)</t>
  </si>
  <si>
    <t>Alkhouri(2018)</t>
    <phoneticPr fontId="2" type="noConversion"/>
  </si>
  <si>
    <t>AUC</t>
    <phoneticPr fontId="2" type="noConversion"/>
  </si>
  <si>
    <t>Atsukawa(2018)</t>
    <phoneticPr fontId="2" type="noConversion"/>
  </si>
  <si>
    <t>AUC, SN, SP, PPV, NPV, predictive accuracy</t>
    <phoneticPr fontId="2" type="noConversion"/>
  </si>
  <si>
    <t>Brunt's criteria</t>
    <phoneticPr fontId="2" type="noConversion"/>
  </si>
  <si>
    <t>Fujita(2018)</t>
    <phoneticPr fontId="2" type="noConversion"/>
  </si>
  <si>
    <t xml:space="preserve">AUROC, SN, SP, PLR, NLR, </t>
    <phoneticPr fontId="2" type="noConversion"/>
  </si>
  <si>
    <t>Jekarl(2018)</t>
    <phoneticPr fontId="2" type="noConversion"/>
  </si>
  <si>
    <t>AUC, SN, SP, PPV, NPV, Accuracy</t>
    <phoneticPr fontId="2" type="noConversion"/>
  </si>
  <si>
    <r>
      <t>F</t>
    </r>
    <r>
      <rPr>
        <sz val="11"/>
        <color theme="1"/>
        <rFont val="KoPub돋움체 Light"/>
        <family val="1"/>
        <charset val="129"/>
      </rPr>
      <t>≥</t>
    </r>
    <r>
      <rPr>
        <sz val="11"/>
        <color theme="1"/>
        <rFont val="맑은 고딕"/>
        <family val="3"/>
        <charset val="129"/>
      </rPr>
      <t>2, F3</t>
    </r>
    <phoneticPr fontId="2" type="noConversion"/>
  </si>
  <si>
    <t>Mak(2018)</t>
    <phoneticPr fontId="2" type="noConversion"/>
  </si>
  <si>
    <t xml:space="preserve">≥F2,≥F3, F4 </t>
    <phoneticPr fontId="2" type="noConversion"/>
  </si>
  <si>
    <t>Ogawa(2018)</t>
  </si>
  <si>
    <t>Fibroscan, MRE</t>
    <phoneticPr fontId="2" type="noConversion"/>
  </si>
  <si>
    <t>≥Stage 1, ≥Stage 2, ≥Stage 3, Stage 4</t>
    <phoneticPr fontId="2" type="noConversion"/>
  </si>
  <si>
    <t>Ueno(2018)</t>
  </si>
  <si>
    <t>Huang(2017)</t>
  </si>
  <si>
    <t>AUC, SN, SP, PPF, NPV, accuracy</t>
    <phoneticPr fontId="2" type="noConversion"/>
  </si>
  <si>
    <t xml:space="preserve">F≥1, F≥2, F≥3, F≥4, </t>
    <phoneticPr fontId="2" type="noConversion"/>
  </si>
  <si>
    <t>Ichikawa(2017)</t>
  </si>
  <si>
    <t>F2-4, F3-4, F4</t>
    <phoneticPr fontId="2" type="noConversion"/>
  </si>
  <si>
    <t>Ishii(2017)</t>
  </si>
  <si>
    <t>Kamada(2017)</t>
  </si>
  <si>
    <r>
      <rPr>
        <sz val="11"/>
        <color theme="1"/>
        <rFont val="KoPub돋움체 Light"/>
        <family val="1"/>
        <charset val="129"/>
      </rPr>
      <t>≥</t>
    </r>
    <r>
      <rPr>
        <sz val="11"/>
        <color theme="1"/>
        <rFont val="맑은 고딕"/>
        <family val="2"/>
        <charset val="129"/>
      </rPr>
      <t>F</t>
    </r>
    <r>
      <rPr>
        <sz val="11"/>
        <color theme="1"/>
        <rFont val="맑은 고딕"/>
        <family val="3"/>
        <charset val="129"/>
      </rPr>
      <t>2</t>
    </r>
    <phoneticPr fontId="2" type="noConversion"/>
  </si>
  <si>
    <t>Lai(2017)</t>
  </si>
  <si>
    <t xml:space="preserve">AUROC, SN, SP, PPV, NPV </t>
    <phoneticPr fontId="2" type="noConversion"/>
  </si>
  <si>
    <t>F≥1, F≥2, F≥3, F4</t>
    <phoneticPr fontId="2" type="noConversion"/>
  </si>
  <si>
    <t>Nakamura(2017)</t>
  </si>
  <si>
    <t>AUC, PPV, NPV, SN, SP, accuracy</t>
    <phoneticPr fontId="2" type="noConversion"/>
  </si>
  <si>
    <t>Nishikawa(2017)</t>
  </si>
  <si>
    <t>AUROC, SN, SP, PPV, NPV, Accuracy</t>
    <phoneticPr fontId="2" type="noConversion"/>
  </si>
  <si>
    <t>Noguchi(2017)</t>
  </si>
  <si>
    <t>≥F2: AUC, SN, SP, PPV, NPV, accuracy
≥F3: AUC, SN, SP</t>
    <phoneticPr fontId="2" type="noConversion"/>
  </si>
  <si>
    <t>≥F2, ≥F3</t>
    <phoneticPr fontId="2" type="noConversion"/>
  </si>
  <si>
    <t>Yamada(2017)</t>
  </si>
  <si>
    <t>F4</t>
    <phoneticPr fontId="2" type="noConversion"/>
  </si>
  <si>
    <t>Yamazaki(2017)</t>
  </si>
  <si>
    <t>Zou(2017)</t>
  </si>
  <si>
    <t>Heo(2016)</t>
  </si>
  <si>
    <r>
      <rPr>
        <sz val="11"/>
        <color theme="1"/>
        <rFont val="KoPub돋움체 Light"/>
        <family val="1"/>
        <charset val="129"/>
      </rPr>
      <t>≥</t>
    </r>
    <r>
      <rPr>
        <sz val="11"/>
        <color theme="1"/>
        <rFont val="맑은 고딕"/>
        <family val="3"/>
        <charset val="129"/>
      </rPr>
      <t>F2, ≥F3, F4</t>
    </r>
    <phoneticPr fontId="2" type="noConversion"/>
  </si>
  <si>
    <t>Nishikawa(2016a)</t>
    <phoneticPr fontId="2" type="noConversion"/>
  </si>
  <si>
    <t>Nishikawa(2016b)</t>
    <phoneticPr fontId="2" type="noConversion"/>
  </si>
  <si>
    <t>Nishikawa(2016c)</t>
    <phoneticPr fontId="2" type="noConversion"/>
  </si>
  <si>
    <t>Ura(2016)</t>
  </si>
  <si>
    <t>SN, SP, PPV, NPV, LR+, LR-, AUROC</t>
    <phoneticPr fontId="2" type="noConversion"/>
  </si>
  <si>
    <t>Abe(2015)</t>
  </si>
  <si>
    <r>
      <t>AUC, SN, SP, PPV, NPV, predictive accuracy</t>
    </r>
    <r>
      <rPr>
        <sz val="11"/>
        <color theme="1"/>
        <rFont val="KoPub돋움체 Light"/>
        <family val="1"/>
        <charset val="129"/>
      </rPr>
      <t/>
    </r>
    <phoneticPr fontId="2" type="noConversion"/>
  </si>
  <si>
    <t>≥Stage 1, ≥stage 2, ≥stage3, stage 4 구분해서 제시</t>
    <phoneticPr fontId="2" type="noConversion"/>
  </si>
  <si>
    <t>Fujiyoshi(2015)</t>
  </si>
  <si>
    <t>≥F2, F4</t>
    <phoneticPr fontId="2" type="noConversion"/>
  </si>
  <si>
    <t>Nishikawa(2015)</t>
  </si>
  <si>
    <t>Toshima(2015)</t>
  </si>
  <si>
    <t>SN, SP, PPV, NPV, AUROC</t>
    <phoneticPr fontId="2" type="noConversion"/>
  </si>
  <si>
    <r>
      <t>F</t>
    </r>
    <r>
      <rPr>
        <sz val="11"/>
        <color theme="1"/>
        <rFont val="맑은 고딕"/>
        <family val="3"/>
        <charset val="129"/>
      </rPr>
      <t>≥</t>
    </r>
    <r>
      <rPr>
        <sz val="11"/>
        <color theme="1"/>
        <rFont val="맑은 고딕"/>
        <family val="2"/>
        <charset val="129"/>
      </rPr>
      <t>1, F≥2, F≥3, F≥4</t>
    </r>
    <phoneticPr fontId="2" type="noConversion"/>
  </si>
  <si>
    <t>Umemura(2015)</t>
  </si>
  <si>
    <t>검사법</t>
    <phoneticPr fontId="2" type="noConversion"/>
  </si>
  <si>
    <t>[자동계산] 계산된 진단정확도</t>
    <phoneticPr fontId="2" type="noConversion"/>
  </si>
  <si>
    <t>TP</t>
    <phoneticPr fontId="2" type="noConversion"/>
  </si>
  <si>
    <t>FP</t>
    <phoneticPr fontId="2" type="noConversion"/>
  </si>
  <si>
    <t>FN</t>
    <phoneticPr fontId="2" type="noConversion"/>
  </si>
  <si>
    <t>TN</t>
    <phoneticPr fontId="2" type="noConversion"/>
  </si>
  <si>
    <t>Sn</t>
    <phoneticPr fontId="2" type="noConversion"/>
  </si>
  <si>
    <t>LR+</t>
    <phoneticPr fontId="2" type="noConversion"/>
  </si>
  <si>
    <t>LR-</t>
    <phoneticPr fontId="2" type="noConversion"/>
  </si>
  <si>
    <t>N</t>
    <phoneticPr fontId="2" type="noConversion"/>
  </si>
  <si>
    <t>%</t>
    <phoneticPr fontId="2" type="noConversion"/>
  </si>
  <si>
    <t>값</t>
    <phoneticPr fontId="2" type="noConversion"/>
  </si>
  <si>
    <t>대상자</t>
    <phoneticPr fontId="2" type="noConversion"/>
  </si>
  <si>
    <t>논문에 보고된 진단정확도</t>
    <phoneticPr fontId="2" type="noConversion"/>
  </si>
  <si>
    <t>Sp</t>
    <phoneticPr fontId="2" type="noConversion"/>
  </si>
  <si>
    <t>PPV</t>
    <phoneticPr fontId="2" type="noConversion"/>
  </si>
  <si>
    <t>NPV</t>
    <phoneticPr fontId="2" type="noConversion"/>
  </si>
  <si>
    <t>Accuracy</t>
    <phoneticPr fontId="2" type="noConversion"/>
  </si>
  <si>
    <t>95% CI</t>
    <phoneticPr fontId="2" type="noConversion"/>
  </si>
  <si>
    <t>NASH</t>
  </si>
  <si>
    <t>만성 C형 간염</t>
  </si>
  <si>
    <t>만성 간 질환</t>
  </si>
  <si>
    <t>원발성 담즙성 담관염</t>
  </si>
  <si>
    <t>NAFLD</t>
  </si>
  <si>
    <t>간 이식 수여자</t>
  </si>
  <si>
    <t>만성 B형 간염</t>
  </si>
  <si>
    <t>간암</t>
  </si>
  <si>
    <t>담도폐쇄</t>
  </si>
  <si>
    <t>원발성 담즙성 간경변</t>
  </si>
  <si>
    <t>자가면역성 간염</t>
  </si>
  <si>
    <t>HCV</t>
    <phoneticPr fontId="2" type="noConversion"/>
  </si>
  <si>
    <t>Others</t>
    <phoneticPr fontId="2" type="noConversion"/>
  </si>
  <si>
    <t>HBV</t>
    <phoneticPr fontId="2" type="noConversion"/>
  </si>
  <si>
    <t>ELISA</t>
    <phoneticPr fontId="2" type="noConversion"/>
  </si>
  <si>
    <t>NA</t>
    <phoneticPr fontId="2" type="noConversion"/>
  </si>
  <si>
    <t>ELF</t>
    <phoneticPr fontId="2" type="noConversion"/>
  </si>
  <si>
    <t>SWE(ARFI)</t>
    <phoneticPr fontId="2" type="noConversion"/>
  </si>
  <si>
    <t>Etiology 상세</t>
    <phoneticPr fontId="2" type="noConversion"/>
  </si>
  <si>
    <t>Total</t>
    <phoneticPr fontId="2" type="noConversion"/>
  </si>
  <si>
    <t>F0-1</t>
    <phoneticPr fontId="2" type="noConversion"/>
  </si>
  <si>
    <t>≥F3</t>
    <phoneticPr fontId="2" type="noConversion"/>
  </si>
  <si>
    <t>F0-2</t>
    <phoneticPr fontId="2" type="noConversion"/>
  </si>
  <si>
    <t>F0-3</t>
    <phoneticPr fontId="2" type="noConversion"/>
  </si>
  <si>
    <t>임계값
(F4)</t>
    <phoneticPr fontId="2" type="noConversion"/>
  </si>
  <si>
    <t>OR</t>
    <phoneticPr fontId="2" type="noConversion"/>
  </si>
  <si>
    <t>ratio</t>
    <phoneticPr fontId="2" type="noConversion"/>
  </si>
  <si>
    <t>0.743–0.895</t>
    <phoneticPr fontId="2" type="noConversion"/>
  </si>
  <si>
    <t>0.791–0.940</t>
    <phoneticPr fontId="2" type="noConversion"/>
  </si>
  <si>
    <t>0.829–0.972</t>
    <phoneticPr fontId="2" type="noConversion"/>
  </si>
  <si>
    <t>0.47-0.81</t>
    <phoneticPr fontId="2" type="noConversion"/>
  </si>
  <si>
    <t>0.682–0.873</t>
    <phoneticPr fontId="2" type="noConversion"/>
  </si>
  <si>
    <t>0.841‑0.962</t>
    <phoneticPr fontId="2" type="noConversion"/>
  </si>
  <si>
    <t>0.513‑0.642</t>
    <phoneticPr fontId="2" type="noConversion"/>
  </si>
  <si>
    <t>0.592‑0.717</t>
    <phoneticPr fontId="2" type="noConversion"/>
  </si>
  <si>
    <t>0.476–0.716</t>
    <phoneticPr fontId="2" type="noConversion"/>
  </si>
  <si>
    <t>0.591–0.814</t>
    <phoneticPr fontId="2" type="noConversion"/>
  </si>
  <si>
    <t>0.601–0.822</t>
    <phoneticPr fontId="2" type="noConversion"/>
  </si>
  <si>
    <t>0.948-0.948</t>
    <phoneticPr fontId="2" type="noConversion"/>
  </si>
  <si>
    <t>0.818–0.982</t>
    <phoneticPr fontId="2" type="noConversion"/>
  </si>
  <si>
    <t>0.585-0.710</t>
    <phoneticPr fontId="2" type="noConversion"/>
  </si>
  <si>
    <t>0.598–0.842</t>
    <phoneticPr fontId="2" type="noConversion"/>
  </si>
  <si>
    <t>0.558–0.758</t>
    <phoneticPr fontId="2" type="noConversion"/>
  </si>
  <si>
    <t>0.618–0.809</t>
    <phoneticPr fontId="2" type="noConversion"/>
  </si>
  <si>
    <t>0.608-0.698</t>
    <phoneticPr fontId="2" type="noConversion"/>
  </si>
  <si>
    <t>0.743-0.848</t>
    <phoneticPr fontId="2" type="noConversion"/>
  </si>
  <si>
    <t>0.815-1.00</t>
    <phoneticPr fontId="2" type="noConversion"/>
  </si>
  <si>
    <t>0.771–0.894</t>
    <phoneticPr fontId="2" type="noConversion"/>
  </si>
  <si>
    <t>0.755-0.885</t>
    <phoneticPr fontId="2" type="noConversion"/>
  </si>
  <si>
    <t>0.880-1.000</t>
    <phoneticPr fontId="2" type="noConversion"/>
  </si>
  <si>
    <t>0.79-0.89</t>
    <phoneticPr fontId="2" type="noConversion"/>
  </si>
  <si>
    <t>0.68-0.80</t>
    <phoneticPr fontId="2" type="noConversion"/>
  </si>
  <si>
    <t>0.64-0.77</t>
    <phoneticPr fontId="2" type="noConversion"/>
  </si>
  <si>
    <t>0.817–1.000</t>
    <phoneticPr fontId="2" type="noConversion"/>
  </si>
  <si>
    <t>0.775–0.845</t>
    <phoneticPr fontId="2" type="noConversion"/>
  </si>
  <si>
    <t>0.749–0.828</t>
    <phoneticPr fontId="2" type="noConversion"/>
  </si>
  <si>
    <t>0.745–0.847</t>
    <phoneticPr fontId="2" type="noConversion"/>
  </si>
  <si>
    <t>0.687–0.812</t>
    <phoneticPr fontId="2" type="noConversion"/>
  </si>
  <si>
    <t>0.539–0.836</t>
    <phoneticPr fontId="2" type="noConversion"/>
  </si>
  <si>
    <t>0.589–0.798</t>
    <phoneticPr fontId="2" type="noConversion"/>
  </si>
  <si>
    <t>0.599–0.810</t>
    <phoneticPr fontId="2" type="noConversion"/>
  </si>
  <si>
    <t>0.790–0.879</t>
  </si>
  <si>
    <t>0.832–0.911</t>
  </si>
  <si>
    <t>0.835–0.914</t>
  </si>
  <si>
    <t>0.956–1.000</t>
  </si>
  <si>
    <t>0.880–0.986</t>
  </si>
  <si>
    <t>0.936–0.994</t>
  </si>
  <si>
    <t>221, 76</t>
    <phoneticPr fontId="2" type="noConversion"/>
  </si>
  <si>
    <t>HBV</t>
  </si>
  <si>
    <t>HCV</t>
  </si>
  <si>
    <t>간 절제술(mixed)</t>
    <phoneticPr fontId="2" type="noConversion"/>
  </si>
  <si>
    <t>간암으로 인한 간 절제술(HBV, HCV)</t>
    <phoneticPr fontId="2" type="noConversion"/>
  </si>
  <si>
    <t>담도폐쇄로 인한 Cholestatic cirrhosis, Cholangitis, Portal hypertension으로 간이식을 받은 환자쇄로 간 이식 받은 환자</t>
  </si>
  <si>
    <t>Others</t>
  </si>
  <si>
    <t>0.478‑0.651</t>
    <phoneticPr fontId="2" type="noConversion"/>
  </si>
  <si>
    <t>0.503‑0.732</t>
  </si>
  <si>
    <t>0.506‑0.677</t>
  </si>
  <si>
    <t>0.642‑0.847</t>
  </si>
  <si>
    <t>0.529‑0.699</t>
  </si>
  <si>
    <t>0.613‑0.825</t>
  </si>
  <si>
    <t>0.369–0.749</t>
  </si>
  <si>
    <t>0.631–0.940</t>
  </si>
  <si>
    <t>0.508–0.840</t>
  </si>
  <si>
    <t>0.597–0.921</t>
  </si>
  <si>
    <t>0.466–0.808</t>
  </si>
  <si>
    <t>0.648–0.948</t>
  </si>
  <si>
    <t>≥F2</t>
  </si>
  <si>
    <t>간암으로 인한 간 절제술</t>
  </si>
  <si>
    <t>0.801, 0.931</t>
  </si>
  <si>
    <t>NR</t>
    <phoneticPr fontId="2" type="noConversion"/>
  </si>
  <si>
    <t>환자 198명 sample 137</t>
    <phoneticPr fontId="2" type="noConversion"/>
  </si>
  <si>
    <t>만성 B형 간염에 의한 간세포암</t>
    <phoneticPr fontId="2" type="noConversion"/>
  </si>
  <si>
    <t>간암으로 인한 간 절제술</t>
    <phoneticPr fontId="2" type="noConversion"/>
  </si>
  <si>
    <t>0.7612-0.9232</t>
    <phoneticPr fontId="2" type="noConversion"/>
  </si>
  <si>
    <t>NR</t>
    <phoneticPr fontId="2" type="noConversion"/>
  </si>
  <si>
    <t>NAFLD</t>
    <phoneticPr fontId="2" type="noConversion"/>
  </si>
  <si>
    <t>만성 간 질환, 각주필요: 건강 대조군이라 했다가 환자라 했다가… 대상자 불명확… 비뚤림에서도 깎을거야…</t>
    <phoneticPr fontId="2" type="noConversion"/>
  </si>
  <si>
    <t>0.56-0.75</t>
    <phoneticPr fontId="2" type="noConversion"/>
  </si>
  <si>
    <t>ELISA(SRL)</t>
    <phoneticPr fontId="2" type="noConversion"/>
  </si>
  <si>
    <t>Ueda(2020)</t>
    <phoneticPr fontId="2" type="noConversion"/>
  </si>
  <si>
    <t>Chen(2019)</t>
    <phoneticPr fontId="2" type="noConversion"/>
  </si>
  <si>
    <t>Kamada(2017)</t>
    <phoneticPr fontId="2" type="noConversion"/>
  </si>
  <si>
    <t>Nakamura(2017)</t>
    <phoneticPr fontId="2" type="noConversion"/>
  </si>
  <si>
    <t>Ura(2016)</t>
    <phoneticPr fontId="2" type="noConversion"/>
  </si>
  <si>
    <t>Toshima(2015)</t>
    <phoneticPr fontId="2" type="noConversion"/>
  </si>
  <si>
    <t>0.67–0.92</t>
  </si>
  <si>
    <t>0.54-0.77</t>
    <phoneticPr fontId="2" type="noConversion"/>
  </si>
  <si>
    <t>0.48-0.91</t>
    <phoneticPr fontId="2" type="noConversion"/>
  </si>
  <si>
    <t>SWE</t>
    <phoneticPr fontId="2" type="noConversion"/>
  </si>
  <si>
    <t>Fibroscan</t>
  </si>
  <si>
    <t>0.596–0.806</t>
  </si>
  <si>
    <t>0.723‑0.909</t>
  </si>
  <si>
    <t>0.853‑0.934</t>
  </si>
  <si>
    <t>0.839‑0.923</t>
  </si>
  <si>
    <t>0.859‑0.938</t>
  </si>
  <si>
    <t>0.643–0.854</t>
  </si>
  <si>
    <t>0.677–0.879</t>
  </si>
  <si>
    <t>0.566–0.881</t>
  </si>
  <si>
    <t>0.607–0.926</t>
  </si>
  <si>
    <t>0.643–0.929</t>
  </si>
  <si>
    <t>0.493–0.853</t>
  </si>
  <si>
    <t>0.718–0.907</t>
  </si>
  <si>
    <t>0.640–0.927</t>
    <phoneticPr fontId="2" type="noConversion"/>
  </si>
  <si>
    <t>0.671–0.959</t>
  </si>
  <si>
    <t>0.7676-0.9089</t>
    <phoneticPr fontId="2" type="noConversion"/>
  </si>
  <si>
    <t>0.710–0.880</t>
  </si>
  <si>
    <t>0.662–0.844</t>
  </si>
  <si>
    <t>0.781–0.928</t>
  </si>
  <si>
    <t>0.750–0.908</t>
  </si>
  <si>
    <t>Fibroscan(VCTE)</t>
    <phoneticPr fontId="2" type="noConversion"/>
  </si>
  <si>
    <t>0.755–0.905</t>
  </si>
  <si>
    <t>0.855–0.966</t>
  </si>
  <si>
    <t>0.849-0.958</t>
    <phoneticPr fontId="2" type="noConversion"/>
  </si>
  <si>
    <t>0.857-0.970</t>
    <phoneticPr fontId="2" type="noConversion"/>
  </si>
  <si>
    <t>0.843-0.983</t>
    <phoneticPr fontId="2" type="noConversion"/>
  </si>
  <si>
    <t>0.921-0.994</t>
    <phoneticPr fontId="2" type="noConversion"/>
  </si>
  <si>
    <t>NA</t>
  </si>
  <si>
    <t>0.737–0.910</t>
  </si>
  <si>
    <t>0.789–0.937</t>
  </si>
  <si>
    <t>0.766–0.930</t>
  </si>
  <si>
    <t>0.812‑0.929</t>
  </si>
  <si>
    <t>0.823‑0.965</t>
  </si>
  <si>
    <t>0.792‑0.915</t>
  </si>
  <si>
    <t>0.783‑0.943</t>
  </si>
  <si>
    <t>0.770‑0.900</t>
  </si>
  <si>
    <t>0.909‑0.997</t>
  </si>
  <si>
    <t>Fibroscan, SWE(VTQ)</t>
    <phoneticPr fontId="2" type="noConversion"/>
  </si>
  <si>
    <t>SWE(VTQ)</t>
    <phoneticPr fontId="2" type="noConversion"/>
  </si>
  <si>
    <t>제1저자(연도)</t>
    <phoneticPr fontId="2" type="noConversion"/>
  </si>
  <si>
    <t>연구수행
국가</t>
    <phoneticPr fontId="2" type="noConversion"/>
  </si>
  <si>
    <t>의료결과(O)</t>
    <phoneticPr fontId="2" type="noConversion"/>
  </si>
  <si>
    <t>등급체계</t>
    <phoneticPr fontId="2" type="noConversion"/>
  </si>
  <si>
    <t>대만</t>
    <phoneticPr fontId="2" type="noConversion"/>
  </si>
  <si>
    <t>태국</t>
    <phoneticPr fontId="2" type="noConversion"/>
  </si>
  <si>
    <t>이집트</t>
    <phoneticPr fontId="2" type="noConversion"/>
  </si>
  <si>
    <t>일본</t>
    <phoneticPr fontId="2" type="noConversion"/>
  </si>
  <si>
    <t>한국</t>
    <phoneticPr fontId="2" type="noConversion"/>
  </si>
  <si>
    <t>호주</t>
    <phoneticPr fontId="2" type="noConversion"/>
  </si>
  <si>
    <t>중국</t>
    <phoneticPr fontId="2" type="noConversion"/>
  </si>
  <si>
    <t>말레이시아</t>
    <phoneticPr fontId="2" type="noConversion"/>
  </si>
  <si>
    <t>제1저자
(출판연도)</t>
    <phoneticPr fontId="2" type="noConversion"/>
  </si>
  <si>
    <t>연구대상자</t>
    <phoneticPr fontId="2" type="noConversion"/>
  </si>
  <si>
    <t>27 or 28</t>
    <phoneticPr fontId="2" type="noConversion"/>
  </si>
  <si>
    <t>비교검사</t>
    <phoneticPr fontId="2" type="noConversion"/>
  </si>
  <si>
    <t>-</t>
    <phoneticPr fontId="2" type="noConversion"/>
  </si>
  <si>
    <t>MRE, SWE</t>
    <phoneticPr fontId="2" type="noConversion"/>
  </si>
  <si>
    <t>Fibroscan, ELF score</t>
    <phoneticPr fontId="2" type="noConversion"/>
  </si>
  <si>
    <t>대상자 정의(대상자 수)</t>
    <phoneticPr fontId="2" type="noConversion"/>
  </si>
  <si>
    <t>만성 간 질환 어린이(100), 건강대조군(50)</t>
    <phoneticPr fontId="2" type="noConversion"/>
  </si>
  <si>
    <t>간 이식 수여자(233)</t>
    <phoneticPr fontId="2" type="noConversion"/>
  </si>
  <si>
    <t>비알코올성 지방간염 환자(80)</t>
    <phoneticPr fontId="2" type="noConversion"/>
  </si>
  <si>
    <t>만성 C형 간염 환자(100), 건강대조군(63)</t>
    <phoneticPr fontId="2" type="noConversion"/>
  </si>
  <si>
    <t>원발성 담즙성 담관염 환자(102)</t>
    <phoneticPr fontId="2" type="noConversion"/>
  </si>
  <si>
    <t>비알코올성지방간 환자(113)</t>
    <phoneticPr fontId="2" type="noConversion"/>
  </si>
  <si>
    <t>만성 C형 간염 환자(141)</t>
    <phoneticPr fontId="2" type="noConversion"/>
  </si>
  <si>
    <t>간 이식 수여자(94)</t>
    <phoneticPr fontId="2" type="noConversion"/>
  </si>
  <si>
    <t>만성 B형 간염에 의한 간세포암 환자(312), 건강 대조군(105)</t>
    <phoneticPr fontId="2" type="noConversion"/>
  </si>
  <si>
    <t>만성 B형 간염 환자(96)</t>
    <phoneticPr fontId="2" type="noConversion"/>
  </si>
  <si>
    <t>만성 B형 간염 환자(160)</t>
    <phoneticPr fontId="2" type="noConversion"/>
  </si>
  <si>
    <t>만성 B형 간염 환자(151)</t>
    <phoneticPr fontId="2" type="noConversion"/>
  </si>
  <si>
    <t>만성 C형 간염 환자(229)</t>
    <phoneticPr fontId="2" type="noConversion"/>
  </si>
  <si>
    <t>비알코올성지방간 환자(165)</t>
    <phoneticPr fontId="2" type="noConversion"/>
  </si>
  <si>
    <t>비알코올성지방간 환자(213)</t>
    <phoneticPr fontId="2" type="noConversion"/>
  </si>
  <si>
    <t>비알코올성지방간 환자(289)</t>
    <phoneticPr fontId="2" type="noConversion"/>
  </si>
  <si>
    <t>자가면역성 간염 환자(84)</t>
    <phoneticPr fontId="2" type="noConversion"/>
  </si>
  <si>
    <t>만성 C형 간염 환자(159)</t>
    <phoneticPr fontId="2" type="noConversion"/>
  </si>
  <si>
    <t>원발성 담즙성 간경변 환자(57)</t>
    <phoneticPr fontId="2" type="noConversion"/>
  </si>
  <si>
    <t>만성 B형 간염 환자(95)</t>
    <phoneticPr fontId="2" type="noConversion"/>
  </si>
  <si>
    <t>만성 B형 간염 환자(70)</t>
    <phoneticPr fontId="2" type="noConversion"/>
  </si>
  <si>
    <t>만성 B형 간염 환자(327)</t>
    <phoneticPr fontId="2" type="noConversion"/>
  </si>
  <si>
    <t>담도폐쇄 환자(37)</t>
    <phoneticPr fontId="2" type="noConversion"/>
  </si>
  <si>
    <t>만성 B형 간염 환자(112)</t>
    <phoneticPr fontId="2" type="noConversion"/>
  </si>
  <si>
    <t>치료를 받은 경험이 없는 만성 B형 간염 환자(189)</t>
    <phoneticPr fontId="2" type="noConversion"/>
  </si>
  <si>
    <t>만성 C형 간염 환자(386)</t>
    <phoneticPr fontId="2" type="noConversion"/>
  </si>
  <si>
    <t>간 절제술을 받은 환자(77)</t>
    <phoneticPr fontId="2" type="noConversion"/>
  </si>
  <si>
    <t>만성 B형 간염 환자(249)</t>
    <phoneticPr fontId="2" type="noConversion"/>
  </si>
  <si>
    <t>간암 환자(376)</t>
    <phoneticPr fontId="2" type="noConversion"/>
  </si>
  <si>
    <t>만성 간 질환자(160), 건강한 자원자(40)</t>
    <phoneticPr fontId="2" type="noConversion"/>
  </si>
  <si>
    <t>비알코올성 지방간염 환자(134)</t>
    <phoneticPr fontId="2" type="noConversion"/>
  </si>
  <si>
    <t>비알코올성지방간이 의심되어 간 생검을 수행한 환자(198), 건강대조군(20)</t>
    <phoneticPr fontId="2" type="noConversion"/>
  </si>
  <si>
    <t>간암 환자(115)</t>
    <phoneticPr fontId="2" type="noConversion"/>
  </si>
  <si>
    <t>분석에 포함된 대상자 수</t>
    <phoneticPr fontId="2" type="noConversion"/>
  </si>
  <si>
    <t>간암 수술을 받은 만성 C형 간염 환자(94), 간 전이 환자(14)</t>
    <phoneticPr fontId="2" type="noConversion"/>
  </si>
  <si>
    <t>간암으로 인한 간 절제술을 받은 환자(70, 만성 B형 간염(33), 만성 C형 간염(27 또는 28)</t>
    <phoneticPr fontId="2" type="noConversion"/>
  </si>
  <si>
    <t>간암으로 인한 간 절제술을 받은 환자(238, HBV, HCV, HBV+HCV, Alcoholic liver disease, Cryptogenic causes)</t>
    <phoneticPr fontId="2" type="noConversion"/>
  </si>
  <si>
    <t>간 이식 후 추적관찰 중인 소아 환자(116)</t>
    <phoneticPr fontId="2" type="noConversion"/>
  </si>
  <si>
    <t>sample 137개</t>
    <phoneticPr fontId="2" type="noConversion"/>
  </si>
  <si>
    <t>sample 554개</t>
    <phoneticPr fontId="2" type="noConversion"/>
  </si>
  <si>
    <t>비알코올성지방간 환자(510), 건강검진 코호트(2,122)</t>
    <phoneticPr fontId="2" type="noConversion"/>
  </si>
  <si>
    <t>비알코올성 지방간염 환자(160), 비알코올성 지방간염이 없는 비알코올성지방간 환자(60), 건강대조군(38)</t>
    <phoneticPr fontId="2" type="noConversion"/>
  </si>
  <si>
    <t>만성 B형 간염 환자(91), 만성 C형 간염 환자(108), 건강대조군(23)</t>
    <phoneticPr fontId="2" type="noConversion"/>
  </si>
  <si>
    <r>
      <rPr>
        <sz val="9.9"/>
        <color theme="1"/>
        <rFont val="맑은 고딕"/>
        <family val="3"/>
        <charset val="129"/>
      </rPr>
      <t>90</t>
    </r>
    <r>
      <rPr>
        <sz val="11"/>
        <color theme="1"/>
        <rFont val="맑은 고딕"/>
        <family val="2"/>
        <charset val="129"/>
        <scheme val="minor"/>
      </rPr>
      <t>, 108</t>
    </r>
    <phoneticPr fontId="2" type="noConversion"/>
  </si>
  <si>
    <t>간 이식을 받은 소아 담도폐쇄 환자(64)</t>
    <phoneticPr fontId="2" type="noConversion"/>
  </si>
  <si>
    <t>만성 C형 간염 환자(593), 건강대조군(160)</t>
    <phoneticPr fontId="2" type="noConversion"/>
  </si>
  <si>
    <t>만성 B형 간염 환자(774)</t>
    <phoneticPr fontId="2" type="noConversion"/>
  </si>
  <si>
    <t>만성 C형 간염 환자(122)</t>
    <phoneticPr fontId="2" type="noConversion"/>
  </si>
  <si>
    <t>원발성 담즙성 간경변 환자(137), 건강대조군(45)</t>
    <phoneticPr fontId="2" type="noConversion"/>
  </si>
  <si>
    <t>참고표준검사</t>
    <phoneticPr fontId="2" type="noConversion"/>
  </si>
  <si>
    <t>분석단계</t>
    <phoneticPr fontId="2" type="noConversion"/>
  </si>
  <si>
    <t>F0-1 vs. F2, F0-1 vs. F3</t>
    <phoneticPr fontId="2" type="noConversion"/>
  </si>
  <si>
    <t>detection of F1–2/6, F3-6/6</t>
    <phoneticPr fontId="2" type="noConversion"/>
  </si>
  <si>
    <t>≥Scheuer stage III</t>
    <phoneticPr fontId="2" type="noConversion"/>
  </si>
  <si>
    <t>Pathology Committee of the Nonalcoholic Steatohepatitis (NASH) Clinical Research Network</t>
    <phoneticPr fontId="2" type="noConversion"/>
  </si>
  <si>
    <t>F0 vs. F1-4, F0-1 vs. F2-4, F0-2 vs. F3-4, F0-3 vs. F4</t>
    <phoneticPr fontId="2" type="noConversion"/>
  </si>
  <si>
    <t>F0 vs. F1-4, F0-1 vs. F2-4, F0-2 vs. F3-4, F0-3 vs. F3-4</t>
    <phoneticPr fontId="2" type="noConversion"/>
  </si>
  <si>
    <t>F0-1 vs. F2-4, F0-2 vs. F3-4, F0-3 vs. F4</t>
    <phoneticPr fontId="2" type="noConversion"/>
  </si>
  <si>
    <t>F0-F1 vs. F2-F4, F0-F2 vs. F3-F4, F0-F3 vs. F4</t>
    <phoneticPr fontId="2" type="noConversion"/>
  </si>
  <si>
    <t>≥F1, ≥F2, ≥F3</t>
    <phoneticPr fontId="2" type="noConversion"/>
  </si>
  <si>
    <r>
      <rPr>
        <sz val="11"/>
        <color theme="1"/>
        <rFont val="맑은 고딕"/>
        <family val="3"/>
        <charset val="129"/>
      </rPr>
      <t>≥</t>
    </r>
    <r>
      <rPr>
        <sz val="11"/>
        <color theme="1"/>
        <rFont val="맑은 고딕"/>
        <family val="2"/>
        <charset val="129"/>
      </rPr>
      <t>F1, ≥F2, ≥F3, F4</t>
    </r>
    <phoneticPr fontId="2" type="noConversion"/>
  </si>
  <si>
    <t>F0-1 vs. F2-4</t>
    <phoneticPr fontId="2" type="noConversion"/>
  </si>
  <si>
    <t>NAFLD classification according to EASL guidelines</t>
    <phoneticPr fontId="2" type="noConversion"/>
  </si>
  <si>
    <t>≥stage 2, ≥stage 3, and stage 4</t>
    <phoneticPr fontId="2" type="noConversion"/>
  </si>
  <si>
    <t>F1-2 vs. F3-4</t>
    <phoneticPr fontId="2" type="noConversion"/>
  </si>
  <si>
    <t>Knodell histologic activity index (HAI)</t>
    <phoneticPr fontId="2" type="noConversion"/>
  </si>
  <si>
    <r>
      <rPr>
        <sz val="11"/>
        <color theme="1"/>
        <rFont val="맑은 고딕"/>
        <family val="3"/>
        <charset val="129"/>
      </rPr>
      <t>≥</t>
    </r>
    <r>
      <rPr>
        <sz val="11"/>
        <color theme="1"/>
        <rFont val="맑은 고딕"/>
        <family val="2"/>
        <charset val="129"/>
      </rPr>
      <t>F2, ≥F3, F4</t>
    </r>
    <phoneticPr fontId="2" type="noConversion"/>
  </si>
  <si>
    <t>대한병리학회 소화기병리연구회 만성간염의 등급체계</t>
    <phoneticPr fontId="2" type="noConversion"/>
  </si>
  <si>
    <t>revised Inuyama classification of chronic hepatitis</t>
    <phoneticPr fontId="2" type="noConversion"/>
  </si>
  <si>
    <t>NASH Clinigcal Research Network scoring system</t>
    <phoneticPr fontId="2" type="noConversion"/>
  </si>
  <si>
    <t>Non-Alcoholic Steatohepatitis Clinical Research Network Scoring System</t>
    <phoneticPr fontId="2" type="noConversion"/>
  </si>
  <si>
    <t>F3 or F4</t>
    <phoneticPr fontId="2" type="noConversion"/>
  </si>
  <si>
    <t>≥F1(vs controls), ≥F2, ≥F3, F4</t>
    <phoneticPr fontId="2" type="noConversion"/>
  </si>
  <si>
    <t>Batts and Ludwig criteria</t>
    <phoneticPr fontId="2" type="noConversion"/>
  </si>
  <si>
    <t>F3 or F4, F4</t>
    <phoneticPr fontId="2" type="noConversion"/>
  </si>
  <si>
    <r>
      <t>≥</t>
    </r>
    <r>
      <rPr>
        <sz val="11"/>
        <color theme="1"/>
        <rFont val="맑은 고딕"/>
        <family val="2"/>
        <charset val="129"/>
      </rPr>
      <t xml:space="preserve">F2, ≥F3 </t>
    </r>
    <phoneticPr fontId="2" type="noConversion"/>
  </si>
  <si>
    <t>Inuyama classification of chronic hepatitis</t>
    <phoneticPr fontId="2" type="noConversion"/>
  </si>
  <si>
    <t>Scheuer classifications</t>
    <phoneticPr fontId="2" type="noConversion"/>
  </si>
  <si>
    <t>CIA</t>
    <phoneticPr fontId="2" type="noConversion"/>
  </si>
  <si>
    <t>중재검사
검사원리</t>
    <phoneticPr fontId="2" type="noConversion"/>
  </si>
  <si>
    <t>임계값
(≥F2)</t>
    <phoneticPr fontId="2" type="noConversion"/>
  </si>
  <si>
    <t>3.4 kPa</t>
    <phoneticPr fontId="2" type="noConversion"/>
  </si>
  <si>
    <t>1.71 m/s</t>
    <phoneticPr fontId="2" type="noConversion"/>
  </si>
  <si>
    <t>10.7 kPa</t>
    <phoneticPr fontId="2" type="noConversion"/>
  </si>
  <si>
    <t>2.9 kPa</t>
    <phoneticPr fontId="2" type="noConversion"/>
  </si>
  <si>
    <t>5.6 kPa</t>
    <phoneticPr fontId="2" type="noConversion"/>
  </si>
  <si>
    <t>1.26 m/s</t>
    <phoneticPr fontId="2" type="noConversion"/>
  </si>
  <si>
    <t>3.158 kPa</t>
    <phoneticPr fontId="2" type="noConversion"/>
  </si>
  <si>
    <t>2.768 kPa</t>
    <phoneticPr fontId="2" type="noConversion"/>
  </si>
  <si>
    <t>3.432 kPa</t>
    <phoneticPr fontId="2" type="noConversion"/>
  </si>
  <si>
    <t>10 kPa</t>
    <phoneticPr fontId="2" type="noConversion"/>
  </si>
  <si>
    <t>3.2 kPa</t>
    <phoneticPr fontId="2" type="noConversion"/>
  </si>
  <si>
    <t>만성 C형 간염, training set</t>
    <phoneticPr fontId="2" type="noConversion"/>
  </si>
  <si>
    <t>만성 C형 간염, validation set</t>
    <phoneticPr fontId="2" type="noConversion"/>
  </si>
  <si>
    <t>만성 B형 간염, training set</t>
    <phoneticPr fontId="2" type="noConversion"/>
  </si>
  <si>
    <t>만성 B형 간염, validation set</t>
    <phoneticPr fontId="2" type="noConversion"/>
  </si>
  <si>
    <t>8.5 kPa</t>
    <phoneticPr fontId="2" type="noConversion"/>
  </si>
  <si>
    <t>임계값
(≥F3)</t>
    <phoneticPr fontId="2" type="noConversion"/>
  </si>
  <si>
    <t>3.61 kPa</t>
    <phoneticPr fontId="2" type="noConversion"/>
  </si>
  <si>
    <t>1.82 m/s</t>
    <phoneticPr fontId="2" type="noConversion"/>
  </si>
  <si>
    <t>3.3 kPa</t>
    <phoneticPr fontId="2" type="noConversion"/>
  </si>
  <si>
    <t>9.8 kPa</t>
    <phoneticPr fontId="2" type="noConversion"/>
  </si>
  <si>
    <t>1.78 m/s</t>
    <phoneticPr fontId="2" type="noConversion"/>
  </si>
  <si>
    <t>3.762 kPa</t>
    <phoneticPr fontId="2" type="noConversion"/>
  </si>
  <si>
    <t>3.668 kPa</t>
    <phoneticPr fontId="2" type="noConversion"/>
  </si>
  <si>
    <t>3.768 kPa</t>
    <phoneticPr fontId="2" type="noConversion"/>
  </si>
  <si>
    <t>1.88 m/s</t>
    <phoneticPr fontId="2" type="noConversion"/>
  </si>
  <si>
    <t>7 kPa</t>
    <phoneticPr fontId="2" type="noConversion"/>
  </si>
  <si>
    <t>11.5 kPa</t>
    <phoneticPr fontId="2" type="noConversion"/>
  </si>
  <si>
    <t>9.5 kPa</t>
    <phoneticPr fontId="2" type="noConversion"/>
  </si>
  <si>
    <t>5.03 kPa</t>
    <phoneticPr fontId="2" type="noConversion"/>
  </si>
  <si>
    <t>1.9 m/s</t>
    <phoneticPr fontId="2" type="noConversion"/>
  </si>
  <si>
    <t>4 kPa</t>
    <phoneticPr fontId="2" type="noConversion"/>
  </si>
  <si>
    <t>16 kPa</t>
    <phoneticPr fontId="2" type="noConversion"/>
  </si>
  <si>
    <t>1.94 m/s</t>
    <phoneticPr fontId="2" type="noConversion"/>
  </si>
  <si>
    <t>3.983 kPa</t>
    <phoneticPr fontId="2" type="noConversion"/>
  </si>
  <si>
    <t>3.893 kPa</t>
    <phoneticPr fontId="2" type="noConversion"/>
  </si>
  <si>
    <t>3.9 kPa</t>
    <phoneticPr fontId="2" type="noConversion"/>
  </si>
  <si>
    <t>8 kPa</t>
    <phoneticPr fontId="2" type="noConversion"/>
  </si>
  <si>
    <t>15.2 kPa</t>
    <phoneticPr fontId="2" type="noConversion"/>
  </si>
  <si>
    <t>5.5 kPa</t>
    <phoneticPr fontId="2" type="noConversion"/>
  </si>
  <si>
    <t>11 kPa</t>
    <phoneticPr fontId="2" type="noConversion"/>
  </si>
  <si>
    <t>임계값</t>
    <phoneticPr fontId="2" type="noConversion"/>
  </si>
  <si>
    <t>간암수술 받은 만성 C형 간염, 간 전이(liver metastasis)</t>
    <phoneticPr fontId="2" type="noConversion"/>
  </si>
  <si>
    <t>0.801-0.931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</si>
</sst>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0_ "/>
  </numFmts>
  <fonts count="12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KoPub돋움체 Light"/>
      <family val="1"/>
      <charset val="129"/>
    </font>
    <font>
      <sz val="9.9"/>
      <color theme="1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1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76" fontId="0" fillId="4" borderId="4" xfId="0" applyNumberForma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7" fontId="0" fillId="0" borderId="4" xfId="0" applyNumberFormat="1" applyBorder="1">
      <alignment vertical="center"/>
    </xf>
    <xf numFmtId="177" fontId="0" fillId="0" borderId="4" xfId="0" applyNumberForma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0" fillId="0" borderId="4" xfId="0" applyBorder="1" applyAlignment="1">
      <alignment horizontal="fill" vertical="center"/>
    </xf>
    <xf numFmtId="176" fontId="0" fillId="4" borderId="4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99CC"/>
      <color rgb="FFC59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B1" zoomScale="80" zoomScaleNormal="80" workbookViewId="0">
      <pane ySplit="2" topLeftCell="A3" activePane="bottomLeft" state="frozen"/>
      <selection activeCell="B1" sqref="B1"/>
      <selection pane="bottomLeft" activeCell="F22" sqref="F22"/>
    </sheetView>
  </sheetViews>
  <sheetFormatPr defaultRowHeight="16.5" x14ac:dyDescent="0.3"/>
  <cols>
    <col min="1" max="1" width="9.75" hidden="1" customWidth="1"/>
    <col min="2" max="3" width="5.125" customWidth="1"/>
    <col min="4" max="4" width="23.25" style="4" customWidth="1"/>
    <col min="5" max="5" width="11.25" style="4" bestFit="1" customWidth="1"/>
    <col min="6" max="6" width="50" customWidth="1"/>
    <col min="7" max="7" width="22.75" style="4" customWidth="1"/>
    <col min="8" max="8" width="8.375" style="4" bestFit="1" customWidth="1"/>
    <col min="9" max="9" width="18" style="4" customWidth="1"/>
    <col min="10" max="11" width="22.625" customWidth="1"/>
    <col min="12" max="12" width="31.5" customWidth="1"/>
  </cols>
  <sheetData>
    <row r="1" spans="1:12" x14ac:dyDescent="0.3">
      <c r="C1" s="49" t="s">
        <v>0</v>
      </c>
      <c r="D1" s="50" t="s">
        <v>279</v>
      </c>
      <c r="E1" s="50" t="s">
        <v>268</v>
      </c>
      <c r="F1" s="48" t="s">
        <v>280</v>
      </c>
      <c r="G1" s="48"/>
      <c r="H1" s="48"/>
      <c r="I1" s="48" t="s">
        <v>282</v>
      </c>
      <c r="J1" s="48" t="s">
        <v>336</v>
      </c>
      <c r="K1" s="48"/>
      <c r="L1" s="48" t="s">
        <v>269</v>
      </c>
    </row>
    <row r="2" spans="1:12" s="2" customFormat="1" x14ac:dyDescent="0.3">
      <c r="A2" s="1" t="s">
        <v>0</v>
      </c>
      <c r="C2" s="49"/>
      <c r="D2" s="49"/>
      <c r="E2" s="49"/>
      <c r="F2" s="26" t="s">
        <v>286</v>
      </c>
      <c r="G2" s="26" t="s">
        <v>320</v>
      </c>
      <c r="H2" s="26" t="s">
        <v>1</v>
      </c>
      <c r="I2" s="48"/>
      <c r="J2" s="27" t="s">
        <v>337</v>
      </c>
      <c r="K2" s="27" t="s">
        <v>270</v>
      </c>
      <c r="L2" s="48"/>
    </row>
    <row r="3" spans="1:12" x14ac:dyDescent="0.3">
      <c r="A3" s="3">
        <v>157</v>
      </c>
      <c r="B3" s="3"/>
      <c r="C3" s="6">
        <v>1</v>
      </c>
      <c r="D3" s="8" t="s">
        <v>2</v>
      </c>
      <c r="E3" s="8" t="s">
        <v>271</v>
      </c>
      <c r="F3" s="7" t="s">
        <v>289</v>
      </c>
      <c r="G3" s="8">
        <v>80</v>
      </c>
      <c r="H3" s="8" t="s">
        <v>123</v>
      </c>
      <c r="I3" s="8" t="s">
        <v>3</v>
      </c>
      <c r="J3" s="7" t="s">
        <v>5</v>
      </c>
      <c r="K3" s="7" t="s">
        <v>34</v>
      </c>
      <c r="L3" s="7" t="s">
        <v>4</v>
      </c>
    </row>
    <row r="4" spans="1:12" x14ac:dyDescent="0.3">
      <c r="A4" s="3">
        <v>423</v>
      </c>
      <c r="B4" s="3"/>
      <c r="C4" s="6">
        <v>2</v>
      </c>
      <c r="D4" s="8" t="s">
        <v>8</v>
      </c>
      <c r="E4" s="8" t="s">
        <v>272</v>
      </c>
      <c r="F4" s="7" t="s">
        <v>290</v>
      </c>
      <c r="G4" s="8">
        <v>100</v>
      </c>
      <c r="H4" s="8" t="s">
        <v>188</v>
      </c>
      <c r="I4" s="29" t="s">
        <v>3</v>
      </c>
      <c r="J4" s="7" t="s">
        <v>338</v>
      </c>
      <c r="K4" s="7" t="s">
        <v>34</v>
      </c>
      <c r="L4" s="7" t="s">
        <v>10</v>
      </c>
    </row>
    <row r="5" spans="1:12" x14ac:dyDescent="0.3">
      <c r="A5" s="3">
        <v>25</v>
      </c>
      <c r="B5" s="3"/>
      <c r="C5" s="6">
        <v>3</v>
      </c>
      <c r="D5" s="8" t="s">
        <v>11</v>
      </c>
      <c r="E5" s="8" t="s">
        <v>273</v>
      </c>
      <c r="F5" s="30" t="s">
        <v>287</v>
      </c>
      <c r="G5" s="8">
        <v>100</v>
      </c>
      <c r="H5" s="8" t="s">
        <v>192</v>
      </c>
      <c r="I5" s="8" t="s">
        <v>3</v>
      </c>
      <c r="J5" s="7" t="s">
        <v>339</v>
      </c>
      <c r="K5" s="7" t="s">
        <v>13</v>
      </c>
      <c r="L5" s="7" t="s">
        <v>12</v>
      </c>
    </row>
    <row r="6" spans="1:12" x14ac:dyDescent="0.3">
      <c r="A6" s="3">
        <v>69.6666666666666</v>
      </c>
      <c r="B6" s="3"/>
      <c r="C6" s="6">
        <v>4</v>
      </c>
      <c r="D6" s="8" t="s">
        <v>14</v>
      </c>
      <c r="E6" s="8" t="s">
        <v>274</v>
      </c>
      <c r="F6" s="7" t="s">
        <v>291</v>
      </c>
      <c r="G6" s="8">
        <v>102</v>
      </c>
      <c r="H6" s="8" t="s">
        <v>192</v>
      </c>
      <c r="I6" s="29" t="s">
        <v>15</v>
      </c>
      <c r="J6" s="7" t="s">
        <v>340</v>
      </c>
      <c r="K6" s="34" t="s">
        <v>364</v>
      </c>
      <c r="L6" s="7" t="s">
        <v>16</v>
      </c>
    </row>
    <row r="7" spans="1:12" x14ac:dyDescent="0.3">
      <c r="A7" s="3">
        <v>3.6666666666666301</v>
      </c>
      <c r="B7" s="3"/>
      <c r="C7" s="6">
        <v>5</v>
      </c>
      <c r="D7" s="8" t="s">
        <v>17</v>
      </c>
      <c r="E7" s="8" t="s">
        <v>275</v>
      </c>
      <c r="F7" s="7" t="s">
        <v>292</v>
      </c>
      <c r="G7" s="8">
        <v>113</v>
      </c>
      <c r="H7" s="8" t="s">
        <v>123</v>
      </c>
      <c r="I7" s="8" t="s">
        <v>3</v>
      </c>
      <c r="J7" s="8" t="s">
        <v>19</v>
      </c>
      <c r="K7" s="8" t="s">
        <v>341</v>
      </c>
      <c r="L7" s="8" t="s">
        <v>7</v>
      </c>
    </row>
    <row r="8" spans="1:12" x14ac:dyDescent="0.3">
      <c r="A8" s="3">
        <v>-62.3333333333334</v>
      </c>
      <c r="B8" s="3"/>
      <c r="C8" s="6">
        <v>6</v>
      </c>
      <c r="D8" s="8" t="s">
        <v>20</v>
      </c>
      <c r="E8" s="8" t="s">
        <v>274</v>
      </c>
      <c r="F8" s="7" t="s">
        <v>288</v>
      </c>
      <c r="G8" s="8">
        <v>233</v>
      </c>
      <c r="H8" s="8" t="s">
        <v>192</v>
      </c>
      <c r="I8" s="8" t="s">
        <v>136</v>
      </c>
      <c r="J8" s="7" t="s">
        <v>5</v>
      </c>
      <c r="K8" s="7" t="s">
        <v>34</v>
      </c>
      <c r="L8" s="7" t="s">
        <v>21</v>
      </c>
    </row>
    <row r="9" spans="1:12" x14ac:dyDescent="0.3">
      <c r="A9" s="3">
        <v>-128.333333333333</v>
      </c>
      <c r="B9" s="3"/>
      <c r="C9" s="6">
        <v>7</v>
      </c>
      <c r="D9" s="8" t="s">
        <v>22</v>
      </c>
      <c r="E9" s="8" t="s">
        <v>274</v>
      </c>
      <c r="F9" s="7" t="s">
        <v>293</v>
      </c>
      <c r="G9" s="8">
        <v>141</v>
      </c>
      <c r="H9" s="8" t="s">
        <v>188</v>
      </c>
      <c r="I9" s="29" t="s">
        <v>284</v>
      </c>
      <c r="J9" s="22" t="s">
        <v>24</v>
      </c>
      <c r="K9" s="7" t="s">
        <v>34</v>
      </c>
      <c r="L9" s="7" t="s">
        <v>23</v>
      </c>
    </row>
    <row r="10" spans="1:12" x14ac:dyDescent="0.3">
      <c r="A10" s="3">
        <v>-194.333333333333</v>
      </c>
      <c r="B10" s="3"/>
      <c r="C10" s="6">
        <v>8</v>
      </c>
      <c r="D10" s="8" t="s">
        <v>25</v>
      </c>
      <c r="E10" s="8" t="s">
        <v>274</v>
      </c>
      <c r="F10" s="7" t="s">
        <v>294</v>
      </c>
      <c r="G10" s="8">
        <v>94</v>
      </c>
      <c r="H10" s="8" t="s">
        <v>192</v>
      </c>
      <c r="I10" s="29" t="s">
        <v>9</v>
      </c>
      <c r="J10" s="22" t="s">
        <v>27</v>
      </c>
      <c r="K10" s="7" t="s">
        <v>34</v>
      </c>
      <c r="L10" s="7" t="s">
        <v>26</v>
      </c>
    </row>
    <row r="11" spans="1:12" x14ac:dyDescent="0.3">
      <c r="A11" s="3">
        <v>-260.33333333333297</v>
      </c>
      <c r="B11" s="3"/>
      <c r="C11" s="6">
        <v>9</v>
      </c>
      <c r="D11" s="8" t="s">
        <v>28</v>
      </c>
      <c r="E11" s="8" t="s">
        <v>274</v>
      </c>
      <c r="F11" s="30" t="s">
        <v>313</v>
      </c>
      <c r="G11" s="8">
        <v>77</v>
      </c>
      <c r="H11" s="8" t="s">
        <v>192</v>
      </c>
      <c r="I11" s="29" t="s">
        <v>29</v>
      </c>
      <c r="J11" s="7" t="s">
        <v>342</v>
      </c>
      <c r="K11" s="7" t="s">
        <v>34</v>
      </c>
      <c r="L11" s="7" t="s">
        <v>30</v>
      </c>
    </row>
    <row r="12" spans="1:12" x14ac:dyDescent="0.3">
      <c r="A12" s="3">
        <v>-326.33333333333297</v>
      </c>
      <c r="B12" s="3"/>
      <c r="C12" s="6">
        <v>10</v>
      </c>
      <c r="D12" s="8" t="s">
        <v>31</v>
      </c>
      <c r="E12" s="8" t="s">
        <v>275</v>
      </c>
      <c r="F12" s="7" t="s">
        <v>295</v>
      </c>
      <c r="G12" s="8">
        <v>312</v>
      </c>
      <c r="H12" s="8" t="s">
        <v>187</v>
      </c>
      <c r="I12" s="29" t="s">
        <v>9</v>
      </c>
      <c r="J12" s="8"/>
      <c r="K12" s="8" t="s">
        <v>354</v>
      </c>
      <c r="L12" s="8" t="s">
        <v>144</v>
      </c>
    </row>
    <row r="13" spans="1:12" x14ac:dyDescent="0.3">
      <c r="A13" s="3">
        <v>-392.33333333333297</v>
      </c>
      <c r="B13" s="3"/>
      <c r="C13" s="6">
        <v>11</v>
      </c>
      <c r="D13" s="8" t="s">
        <v>32</v>
      </c>
      <c r="E13" s="8" t="s">
        <v>274</v>
      </c>
      <c r="F13" s="7" t="s">
        <v>296</v>
      </c>
      <c r="G13" s="8">
        <v>96</v>
      </c>
      <c r="H13" s="8" t="s">
        <v>187</v>
      </c>
      <c r="I13" s="29" t="s">
        <v>15</v>
      </c>
      <c r="J13" s="7" t="s">
        <v>343</v>
      </c>
      <c r="K13" s="7" t="s">
        <v>34</v>
      </c>
      <c r="L13" s="7" t="s">
        <v>4</v>
      </c>
    </row>
    <row r="14" spans="1:12" x14ac:dyDescent="0.3">
      <c r="A14" s="3">
        <v>-458.33333333333297</v>
      </c>
      <c r="B14" s="3"/>
      <c r="C14" s="6">
        <v>12</v>
      </c>
      <c r="D14" s="8" t="s">
        <v>35</v>
      </c>
      <c r="E14" s="8" t="s">
        <v>274</v>
      </c>
      <c r="F14" s="30" t="s">
        <v>321</v>
      </c>
      <c r="G14" s="8">
        <v>108</v>
      </c>
      <c r="H14" s="8" t="s">
        <v>188</v>
      </c>
      <c r="I14" s="29" t="s">
        <v>265</v>
      </c>
      <c r="J14" s="7" t="s">
        <v>344</v>
      </c>
      <c r="K14" s="7" t="s">
        <v>34</v>
      </c>
      <c r="L14" s="7" t="s">
        <v>36</v>
      </c>
    </row>
    <row r="15" spans="1:12" x14ac:dyDescent="0.3">
      <c r="A15" s="3">
        <v>-524.33333333333303</v>
      </c>
      <c r="B15" s="3"/>
      <c r="C15" s="6">
        <v>13</v>
      </c>
      <c r="D15" s="8" t="s">
        <v>37</v>
      </c>
      <c r="E15" s="8" t="s">
        <v>271</v>
      </c>
      <c r="F15" s="7" t="s">
        <v>323</v>
      </c>
      <c r="G15" s="8">
        <v>238</v>
      </c>
      <c r="H15" s="8" t="s">
        <v>192</v>
      </c>
      <c r="I15" s="29" t="s">
        <v>29</v>
      </c>
      <c r="J15" s="7" t="s">
        <v>345</v>
      </c>
      <c r="K15" s="7" t="s">
        <v>34</v>
      </c>
      <c r="L15" s="7" t="s">
        <v>7</v>
      </c>
    </row>
    <row r="16" spans="1:12" x14ac:dyDescent="0.3">
      <c r="A16" s="3">
        <v>-590.33333333333303</v>
      </c>
      <c r="B16" s="3"/>
      <c r="C16" s="6">
        <v>14</v>
      </c>
      <c r="D16" s="8" t="s">
        <v>38</v>
      </c>
      <c r="E16" s="8" t="s">
        <v>271</v>
      </c>
      <c r="F16" s="7" t="s">
        <v>322</v>
      </c>
      <c r="G16" s="8">
        <v>70</v>
      </c>
      <c r="H16" s="8" t="s">
        <v>192</v>
      </c>
      <c r="I16" s="8" t="s">
        <v>136</v>
      </c>
      <c r="J16" s="7" t="s">
        <v>39</v>
      </c>
      <c r="K16" s="7" t="s">
        <v>34</v>
      </c>
      <c r="L16" s="7" t="s">
        <v>7</v>
      </c>
    </row>
    <row r="17" spans="1:12" x14ac:dyDescent="0.3">
      <c r="A17" s="3">
        <v>-656.33333333333303</v>
      </c>
      <c r="B17" s="3"/>
      <c r="C17" s="6">
        <v>15</v>
      </c>
      <c r="D17" s="8" t="s">
        <v>40</v>
      </c>
      <c r="E17" s="8" t="s">
        <v>274</v>
      </c>
      <c r="F17" s="7" t="s">
        <v>319</v>
      </c>
      <c r="G17" s="8">
        <v>53</v>
      </c>
      <c r="H17" s="8" t="s">
        <v>192</v>
      </c>
      <c r="I17" s="8" t="s">
        <v>3</v>
      </c>
      <c r="J17" s="7" t="s">
        <v>42</v>
      </c>
      <c r="K17" s="8" t="s">
        <v>352</v>
      </c>
      <c r="L17" s="7" t="s">
        <v>41</v>
      </c>
    </row>
    <row r="18" spans="1:12" x14ac:dyDescent="0.3">
      <c r="A18" s="3">
        <v>-722.33333333333303</v>
      </c>
      <c r="B18" s="3"/>
      <c r="C18" s="6">
        <v>16</v>
      </c>
      <c r="D18" s="8" t="s">
        <v>43</v>
      </c>
      <c r="E18" s="8" t="s">
        <v>274</v>
      </c>
      <c r="F18" s="7" t="s">
        <v>324</v>
      </c>
      <c r="G18" s="8">
        <v>116</v>
      </c>
      <c r="H18" s="8" t="s">
        <v>192</v>
      </c>
      <c r="I18" s="8" t="s">
        <v>3</v>
      </c>
      <c r="J18" s="10" t="s">
        <v>346</v>
      </c>
      <c r="K18" s="7" t="s">
        <v>34</v>
      </c>
      <c r="L18" s="8" t="s">
        <v>7</v>
      </c>
    </row>
    <row r="19" spans="1:12" x14ac:dyDescent="0.3">
      <c r="A19" s="3">
        <v>-788.33333333333303</v>
      </c>
      <c r="B19" s="3"/>
      <c r="C19" s="6">
        <v>17</v>
      </c>
      <c r="D19" s="8" t="s">
        <v>44</v>
      </c>
      <c r="E19" s="8" t="s">
        <v>271</v>
      </c>
      <c r="F19" s="7" t="s">
        <v>297</v>
      </c>
      <c r="G19" s="8">
        <v>160</v>
      </c>
      <c r="H19" s="8" t="s">
        <v>187</v>
      </c>
      <c r="I19" s="8" t="s">
        <v>3</v>
      </c>
      <c r="J19" s="23" t="s">
        <v>347</v>
      </c>
      <c r="K19" s="7" t="s">
        <v>34</v>
      </c>
      <c r="L19" s="8" t="s">
        <v>4</v>
      </c>
    </row>
    <row r="20" spans="1:12" x14ac:dyDescent="0.3">
      <c r="A20" s="3">
        <v>-854.33333333333303</v>
      </c>
      <c r="B20" s="3"/>
      <c r="C20" s="6">
        <v>18</v>
      </c>
      <c r="D20" s="8" t="s">
        <v>45</v>
      </c>
      <c r="E20" s="8" t="s">
        <v>276</v>
      </c>
      <c r="F20" s="7" t="s">
        <v>318</v>
      </c>
      <c r="G20" s="8" t="s">
        <v>325</v>
      </c>
      <c r="H20" s="8" t="s">
        <v>123</v>
      </c>
      <c r="I20" s="8" t="s">
        <v>3</v>
      </c>
      <c r="J20" s="7" t="s">
        <v>348</v>
      </c>
      <c r="K20" s="7" t="s">
        <v>349</v>
      </c>
      <c r="L20" s="7" t="s">
        <v>46</v>
      </c>
    </row>
    <row r="21" spans="1:12" x14ac:dyDescent="0.3">
      <c r="A21" s="3">
        <v>-920.33333333333303</v>
      </c>
      <c r="B21" s="3"/>
      <c r="C21" s="6">
        <v>19</v>
      </c>
      <c r="D21" s="8" t="s">
        <v>47</v>
      </c>
      <c r="E21" s="8" t="s">
        <v>274</v>
      </c>
      <c r="F21" s="7" t="s">
        <v>301</v>
      </c>
      <c r="G21" s="8">
        <v>213</v>
      </c>
      <c r="H21" s="8" t="s">
        <v>123</v>
      </c>
      <c r="I21" s="8" t="s">
        <v>3</v>
      </c>
      <c r="J21" s="7" t="s">
        <v>350</v>
      </c>
      <c r="K21" s="7" t="s">
        <v>49</v>
      </c>
      <c r="L21" s="35" t="s">
        <v>48</v>
      </c>
    </row>
    <row r="22" spans="1:12" x14ac:dyDescent="0.3">
      <c r="A22" s="3">
        <v>-986.33333333333303</v>
      </c>
      <c r="B22" s="3"/>
      <c r="C22" s="6">
        <v>20</v>
      </c>
      <c r="D22" s="8" t="s">
        <v>50</v>
      </c>
      <c r="E22" s="8" t="s">
        <v>274</v>
      </c>
      <c r="F22" s="7" t="s">
        <v>334</v>
      </c>
      <c r="G22" s="8">
        <v>122</v>
      </c>
      <c r="H22" s="8" t="s">
        <v>188</v>
      </c>
      <c r="I22" s="29" t="s">
        <v>15</v>
      </c>
      <c r="J22" s="24" t="s">
        <v>351</v>
      </c>
      <c r="K22" s="7" t="s">
        <v>34</v>
      </c>
      <c r="L22" s="7" t="s">
        <v>51</v>
      </c>
    </row>
    <row r="23" spans="1:12" x14ac:dyDescent="0.3">
      <c r="A23" s="3">
        <v>-1052.3333333333301</v>
      </c>
      <c r="B23" s="3"/>
      <c r="C23" s="6">
        <v>21</v>
      </c>
      <c r="D23" s="8" t="s">
        <v>52</v>
      </c>
      <c r="E23" s="8" t="s">
        <v>275</v>
      </c>
      <c r="F23" s="7" t="s">
        <v>298</v>
      </c>
      <c r="G23" s="8">
        <v>151</v>
      </c>
      <c r="H23" s="8" t="s">
        <v>187</v>
      </c>
      <c r="I23" s="29" t="s">
        <v>285</v>
      </c>
      <c r="J23" s="8" t="s">
        <v>54</v>
      </c>
      <c r="K23" s="8" t="s">
        <v>352</v>
      </c>
      <c r="L23" s="8" t="s">
        <v>53</v>
      </c>
    </row>
    <row r="24" spans="1:12" x14ac:dyDescent="0.3">
      <c r="A24" s="3">
        <v>-1118.3333333333301</v>
      </c>
      <c r="B24" s="3"/>
      <c r="C24" s="6">
        <v>22</v>
      </c>
      <c r="D24" s="8" t="s">
        <v>55</v>
      </c>
      <c r="E24" s="8" t="s">
        <v>277</v>
      </c>
      <c r="F24" s="7" t="s">
        <v>308</v>
      </c>
      <c r="G24" s="8" t="s">
        <v>326</v>
      </c>
      <c r="H24" s="8" t="s">
        <v>187</v>
      </c>
      <c r="I24" s="8" t="s">
        <v>3</v>
      </c>
      <c r="J24" s="22" t="s">
        <v>56</v>
      </c>
      <c r="K24" s="7" t="s">
        <v>13</v>
      </c>
      <c r="L24" s="7" t="s">
        <v>26</v>
      </c>
    </row>
    <row r="25" spans="1:12" x14ac:dyDescent="0.3">
      <c r="A25" s="3">
        <v>-1184.3333333333301</v>
      </c>
      <c r="B25" s="3"/>
      <c r="C25" s="6">
        <v>23</v>
      </c>
      <c r="D25" s="8" t="s">
        <v>57</v>
      </c>
      <c r="E25" s="8" t="s">
        <v>274</v>
      </c>
      <c r="F25" s="7" t="s">
        <v>300</v>
      </c>
      <c r="G25" s="8">
        <v>165</v>
      </c>
      <c r="H25" s="8" t="s">
        <v>123</v>
      </c>
      <c r="I25" s="29" t="s">
        <v>58</v>
      </c>
      <c r="J25" s="22" t="s">
        <v>59</v>
      </c>
      <c r="K25" s="7" t="s">
        <v>49</v>
      </c>
      <c r="L25" s="7" t="s">
        <v>26</v>
      </c>
    </row>
    <row r="26" spans="1:12" x14ac:dyDescent="0.3">
      <c r="A26" s="3">
        <v>-1250.3333333333301</v>
      </c>
      <c r="B26" s="3"/>
      <c r="C26" s="6">
        <v>24</v>
      </c>
      <c r="D26" s="8" t="s">
        <v>60</v>
      </c>
      <c r="E26" s="8" t="s">
        <v>274</v>
      </c>
      <c r="F26" s="7" t="s">
        <v>309</v>
      </c>
      <c r="G26" s="8">
        <v>37</v>
      </c>
      <c r="H26" s="8" t="s">
        <v>192</v>
      </c>
      <c r="I26" s="8" t="s">
        <v>3</v>
      </c>
      <c r="J26" s="22" t="s">
        <v>353</v>
      </c>
      <c r="K26" s="32"/>
      <c r="L26" s="7" t="s">
        <v>7</v>
      </c>
    </row>
    <row r="27" spans="1:12" x14ac:dyDescent="0.3">
      <c r="A27" s="3">
        <v>-1316.3333333333301</v>
      </c>
      <c r="B27" s="3"/>
      <c r="C27" s="6">
        <v>25</v>
      </c>
      <c r="D27" s="8" t="s">
        <v>61</v>
      </c>
      <c r="E27" s="8" t="s">
        <v>271</v>
      </c>
      <c r="F27" s="7" t="s">
        <v>299</v>
      </c>
      <c r="G27" s="8">
        <v>229</v>
      </c>
      <c r="H27" s="8" t="s">
        <v>188</v>
      </c>
      <c r="I27" s="8" t="s">
        <v>3</v>
      </c>
      <c r="J27" s="7" t="s">
        <v>63</v>
      </c>
      <c r="K27" s="7" t="s">
        <v>34</v>
      </c>
      <c r="L27" s="7" t="s">
        <v>62</v>
      </c>
    </row>
    <row r="28" spans="1:12" x14ac:dyDescent="0.3">
      <c r="A28" s="3">
        <v>-1382.3333333333301</v>
      </c>
      <c r="B28" s="3"/>
      <c r="C28" s="6">
        <v>26</v>
      </c>
      <c r="D28" s="8" t="s">
        <v>64</v>
      </c>
      <c r="E28" s="8" t="s">
        <v>274</v>
      </c>
      <c r="F28" s="7" t="s">
        <v>310</v>
      </c>
      <c r="G28" s="8">
        <v>112</v>
      </c>
      <c r="H28" s="8" t="s">
        <v>187</v>
      </c>
      <c r="I28" s="8" t="s">
        <v>3</v>
      </c>
      <c r="J28" s="7" t="s">
        <v>65</v>
      </c>
      <c r="K28" s="7" t="s">
        <v>355</v>
      </c>
      <c r="L28" s="7" t="s">
        <v>10</v>
      </c>
    </row>
    <row r="29" spans="1:12" x14ac:dyDescent="0.3">
      <c r="A29" s="3">
        <v>-1448.3333333333301</v>
      </c>
      <c r="B29" s="3"/>
      <c r="C29" s="6">
        <v>27</v>
      </c>
      <c r="D29" s="8" t="s">
        <v>66</v>
      </c>
      <c r="E29" s="8" t="s">
        <v>274</v>
      </c>
      <c r="F29" s="7" t="s">
        <v>311</v>
      </c>
      <c r="G29" s="8">
        <v>189</v>
      </c>
      <c r="H29" s="8" t="s">
        <v>187</v>
      </c>
      <c r="I29" s="8" t="s">
        <v>3</v>
      </c>
      <c r="J29" s="33" t="s">
        <v>84</v>
      </c>
      <c r="K29" s="32"/>
      <c r="L29" s="7" t="s">
        <v>41</v>
      </c>
    </row>
    <row r="30" spans="1:12" x14ac:dyDescent="0.3">
      <c r="A30" s="3">
        <v>-1514.3333333333301</v>
      </c>
      <c r="B30" s="3"/>
      <c r="C30" s="6">
        <v>28</v>
      </c>
      <c r="D30" s="8" t="s">
        <v>67</v>
      </c>
      <c r="E30" s="8" t="s">
        <v>274</v>
      </c>
      <c r="F30" s="7" t="s">
        <v>327</v>
      </c>
      <c r="G30" s="8">
        <v>116</v>
      </c>
      <c r="H30" s="8" t="s">
        <v>123</v>
      </c>
      <c r="I30" s="8" t="s">
        <v>3</v>
      </c>
      <c r="J30" s="25" t="s">
        <v>68</v>
      </c>
      <c r="K30" s="7" t="s">
        <v>356</v>
      </c>
      <c r="L30" s="7" t="s">
        <v>36</v>
      </c>
    </row>
    <row r="31" spans="1:12" x14ac:dyDescent="0.3">
      <c r="A31" s="3">
        <v>-1580.3333333333301</v>
      </c>
      <c r="B31" s="3"/>
      <c r="C31" s="6">
        <v>29</v>
      </c>
      <c r="D31" s="8" t="s">
        <v>69</v>
      </c>
      <c r="E31" s="8" t="s">
        <v>278</v>
      </c>
      <c r="F31" s="7" t="s">
        <v>328</v>
      </c>
      <c r="G31" s="8">
        <v>220</v>
      </c>
      <c r="H31" s="8" t="s">
        <v>123</v>
      </c>
      <c r="I31" s="8" t="s">
        <v>3</v>
      </c>
      <c r="J31" s="7" t="s">
        <v>71</v>
      </c>
      <c r="K31" s="7" t="s">
        <v>357</v>
      </c>
      <c r="L31" s="7" t="s">
        <v>70</v>
      </c>
    </row>
    <row r="32" spans="1:12" x14ac:dyDescent="0.3">
      <c r="A32" s="3">
        <v>-1646.3333333333301</v>
      </c>
      <c r="B32" s="3"/>
      <c r="C32" s="6">
        <v>30</v>
      </c>
      <c r="D32" s="8" t="s">
        <v>72</v>
      </c>
      <c r="E32" s="8" t="s">
        <v>274</v>
      </c>
      <c r="F32" s="7" t="s">
        <v>329</v>
      </c>
      <c r="G32" s="29" t="s">
        <v>330</v>
      </c>
      <c r="H32" s="8" t="s">
        <v>192</v>
      </c>
      <c r="I32" s="8" t="s">
        <v>3</v>
      </c>
      <c r="J32" s="7" t="s">
        <v>358</v>
      </c>
      <c r="K32" s="32"/>
      <c r="L32" s="7" t="s">
        <v>73</v>
      </c>
    </row>
    <row r="33" spans="1:12" x14ac:dyDescent="0.3">
      <c r="A33" s="3">
        <v>-1712.3333333333301</v>
      </c>
      <c r="B33" s="3"/>
      <c r="C33" s="6">
        <v>31</v>
      </c>
      <c r="D33" s="8" t="s">
        <v>74</v>
      </c>
      <c r="E33" s="8" t="s">
        <v>274</v>
      </c>
      <c r="F33" s="7" t="s">
        <v>312</v>
      </c>
      <c r="G33" s="8">
        <v>386</v>
      </c>
      <c r="H33" s="8" t="s">
        <v>188</v>
      </c>
      <c r="I33" s="8" t="s">
        <v>3</v>
      </c>
      <c r="J33" s="7" t="s">
        <v>358</v>
      </c>
      <c r="K33" s="32"/>
      <c r="L33" s="7" t="s">
        <v>75</v>
      </c>
    </row>
    <row r="34" spans="1:12" x14ac:dyDescent="0.3">
      <c r="A34" s="3">
        <v>-1778.3333333333301</v>
      </c>
      <c r="B34" s="3"/>
      <c r="C34" s="6">
        <v>32</v>
      </c>
      <c r="D34" s="8" t="s">
        <v>76</v>
      </c>
      <c r="E34" s="8" t="s">
        <v>274</v>
      </c>
      <c r="F34" s="7" t="s">
        <v>307</v>
      </c>
      <c r="G34" s="8">
        <v>70</v>
      </c>
      <c r="H34" s="8" t="s">
        <v>187</v>
      </c>
      <c r="I34" s="8" t="s">
        <v>3</v>
      </c>
      <c r="J34" s="7" t="s">
        <v>78</v>
      </c>
      <c r="K34" s="7" t="s">
        <v>34</v>
      </c>
      <c r="L34" s="35" t="s">
        <v>77</v>
      </c>
    </row>
    <row r="35" spans="1:12" x14ac:dyDescent="0.3">
      <c r="A35" s="3">
        <v>-1844.3333333333301</v>
      </c>
      <c r="B35" s="3"/>
      <c r="C35" s="6">
        <v>33</v>
      </c>
      <c r="D35" s="8" t="s">
        <v>79</v>
      </c>
      <c r="E35" s="8" t="s">
        <v>274</v>
      </c>
      <c r="F35" s="7" t="s">
        <v>331</v>
      </c>
      <c r="G35" s="8">
        <v>64</v>
      </c>
      <c r="H35" s="8" t="s">
        <v>192</v>
      </c>
      <c r="I35" s="8" t="s">
        <v>3</v>
      </c>
      <c r="J35" s="8" t="s">
        <v>80</v>
      </c>
      <c r="K35" s="8" t="s">
        <v>34</v>
      </c>
      <c r="L35" s="8" t="s">
        <v>7</v>
      </c>
    </row>
    <row r="36" spans="1:12" x14ac:dyDescent="0.3">
      <c r="A36" s="3">
        <v>-1910.3333333333301</v>
      </c>
      <c r="B36" s="3"/>
      <c r="C36" s="6">
        <v>34</v>
      </c>
      <c r="D36" s="8" t="s">
        <v>81</v>
      </c>
      <c r="E36" s="8" t="s">
        <v>274</v>
      </c>
      <c r="F36" s="7" t="s">
        <v>332</v>
      </c>
      <c r="G36" s="8">
        <v>593</v>
      </c>
      <c r="H36" s="8" t="s">
        <v>188</v>
      </c>
      <c r="I36" s="8" t="s">
        <v>3</v>
      </c>
      <c r="J36" s="10" t="s">
        <v>359</v>
      </c>
      <c r="K36" s="8" t="s">
        <v>34</v>
      </c>
      <c r="L36" s="8" t="s">
        <v>36</v>
      </c>
    </row>
    <row r="37" spans="1:12" x14ac:dyDescent="0.3">
      <c r="A37" s="3">
        <v>-1976.3333333333301</v>
      </c>
      <c r="B37" s="3"/>
      <c r="C37" s="6">
        <v>35</v>
      </c>
      <c r="D37" s="8" t="s">
        <v>82</v>
      </c>
      <c r="E37" s="8" t="s">
        <v>277</v>
      </c>
      <c r="F37" s="7" t="s">
        <v>333</v>
      </c>
      <c r="G37" s="8" t="s">
        <v>186</v>
      </c>
      <c r="H37" s="8" t="s">
        <v>187</v>
      </c>
      <c r="I37" s="29" t="s">
        <v>3</v>
      </c>
      <c r="J37" s="8" t="s">
        <v>348</v>
      </c>
      <c r="K37" s="8" t="s">
        <v>34</v>
      </c>
      <c r="L37" s="8" t="s">
        <v>4</v>
      </c>
    </row>
    <row r="38" spans="1:12" x14ac:dyDescent="0.3">
      <c r="A38" s="3">
        <v>-2042.3333333333301</v>
      </c>
      <c r="B38" s="3"/>
      <c r="C38" s="6">
        <v>36</v>
      </c>
      <c r="D38" s="8" t="s">
        <v>83</v>
      </c>
      <c r="E38" s="8" t="s">
        <v>275</v>
      </c>
      <c r="F38" s="7" t="s">
        <v>306</v>
      </c>
      <c r="G38" s="8">
        <v>95</v>
      </c>
      <c r="H38" s="8" t="s">
        <v>187</v>
      </c>
      <c r="I38" s="29" t="s">
        <v>9</v>
      </c>
      <c r="J38" s="25" t="s">
        <v>84</v>
      </c>
      <c r="K38" s="7" t="s">
        <v>360</v>
      </c>
      <c r="L38" s="7" t="s">
        <v>36</v>
      </c>
    </row>
    <row r="39" spans="1:12" x14ac:dyDescent="0.3">
      <c r="A39" s="3">
        <v>-2108.3333333333298</v>
      </c>
      <c r="B39" s="3"/>
      <c r="C39" s="6">
        <v>37</v>
      </c>
      <c r="D39" s="8" t="s">
        <v>85</v>
      </c>
      <c r="E39" s="8" t="s">
        <v>274</v>
      </c>
      <c r="F39" s="7" t="s">
        <v>305</v>
      </c>
      <c r="G39" s="8">
        <v>57</v>
      </c>
      <c r="H39" s="8" t="s">
        <v>192</v>
      </c>
      <c r="I39" s="8" t="s">
        <v>3</v>
      </c>
      <c r="J39" s="7" t="s">
        <v>361</v>
      </c>
      <c r="K39" s="32"/>
      <c r="L39" s="7" t="s">
        <v>41</v>
      </c>
    </row>
    <row r="40" spans="1:12" s="3" customFormat="1" x14ac:dyDescent="0.3">
      <c r="A40" s="3">
        <v>-2174.3333333333298</v>
      </c>
      <c r="C40" s="6">
        <v>38</v>
      </c>
      <c r="D40" s="8" t="s">
        <v>86</v>
      </c>
      <c r="E40" s="8" t="s">
        <v>274</v>
      </c>
      <c r="F40" s="7" t="s">
        <v>317</v>
      </c>
      <c r="G40" s="8">
        <v>134</v>
      </c>
      <c r="H40" s="8" t="s">
        <v>123</v>
      </c>
      <c r="I40" s="8" t="s">
        <v>3</v>
      </c>
      <c r="J40" s="7" t="s">
        <v>24</v>
      </c>
      <c r="K40" s="7" t="s">
        <v>49</v>
      </c>
      <c r="L40" s="7" t="s">
        <v>53</v>
      </c>
    </row>
    <row r="41" spans="1:12" s="3" customFormat="1" x14ac:dyDescent="0.3">
      <c r="A41" s="3">
        <v>-2240.3333333333298</v>
      </c>
      <c r="C41" s="6">
        <v>39</v>
      </c>
      <c r="D41" s="8" t="s">
        <v>87</v>
      </c>
      <c r="E41" s="8" t="s">
        <v>274</v>
      </c>
      <c r="F41" s="7" t="s">
        <v>314</v>
      </c>
      <c r="G41" s="8">
        <v>249</v>
      </c>
      <c r="H41" s="8" t="s">
        <v>187</v>
      </c>
      <c r="I41" s="8" t="s">
        <v>3</v>
      </c>
      <c r="J41" s="7" t="s">
        <v>140</v>
      </c>
      <c r="K41" s="32"/>
      <c r="L41" s="7" t="s">
        <v>75</v>
      </c>
    </row>
    <row r="42" spans="1:12" s="3" customFormat="1" x14ac:dyDescent="0.3">
      <c r="A42" s="3">
        <v>-2306.3333333333298</v>
      </c>
      <c r="C42" s="6">
        <v>40</v>
      </c>
      <c r="D42" s="8" t="s">
        <v>88</v>
      </c>
      <c r="E42" s="8" t="s">
        <v>274</v>
      </c>
      <c r="F42" s="7" t="s">
        <v>304</v>
      </c>
      <c r="G42" s="8">
        <v>146</v>
      </c>
      <c r="H42" s="8" t="s">
        <v>188</v>
      </c>
      <c r="I42" s="29" t="s">
        <v>3</v>
      </c>
      <c r="J42" s="22" t="s">
        <v>362</v>
      </c>
      <c r="K42" s="8" t="s">
        <v>34</v>
      </c>
      <c r="L42" s="7" t="s">
        <v>89</v>
      </c>
    </row>
    <row r="43" spans="1:12" s="3" customFormat="1" x14ac:dyDescent="0.3">
      <c r="A43" s="3">
        <v>-2372.3333333333298</v>
      </c>
      <c r="C43" s="6">
        <v>41</v>
      </c>
      <c r="D43" s="8" t="s">
        <v>90</v>
      </c>
      <c r="E43" s="8" t="s">
        <v>274</v>
      </c>
      <c r="F43" s="7" t="s">
        <v>302</v>
      </c>
      <c r="G43" s="8">
        <v>289</v>
      </c>
      <c r="H43" s="8" t="s">
        <v>123</v>
      </c>
      <c r="I43" s="8" t="s">
        <v>3</v>
      </c>
      <c r="J43" s="7" t="s">
        <v>92</v>
      </c>
      <c r="K43" s="7" t="s">
        <v>49</v>
      </c>
      <c r="L43" s="35" t="s">
        <v>91</v>
      </c>
    </row>
    <row r="44" spans="1:12" s="3" customFormat="1" x14ac:dyDescent="0.3">
      <c r="A44" s="3">
        <v>-2438.3333333333298</v>
      </c>
      <c r="C44" s="6">
        <v>42</v>
      </c>
      <c r="D44" s="8" t="s">
        <v>93</v>
      </c>
      <c r="E44" s="8" t="s">
        <v>274</v>
      </c>
      <c r="F44" s="24" t="s">
        <v>315</v>
      </c>
      <c r="G44" s="29">
        <v>376</v>
      </c>
      <c r="H44" s="29" t="s">
        <v>192</v>
      </c>
      <c r="I44" s="8" t="s">
        <v>3</v>
      </c>
      <c r="J44" s="7" t="s">
        <v>94</v>
      </c>
      <c r="K44" s="7" t="s">
        <v>363</v>
      </c>
      <c r="L44" s="7" t="s">
        <v>10</v>
      </c>
    </row>
    <row r="45" spans="1:12" x14ac:dyDescent="0.3">
      <c r="A45" s="3">
        <v>-2504.3333333333298</v>
      </c>
      <c r="B45" s="3"/>
      <c r="C45" s="6">
        <v>43</v>
      </c>
      <c r="D45" s="8" t="s">
        <v>95</v>
      </c>
      <c r="E45" s="8" t="s">
        <v>274</v>
      </c>
      <c r="F45" s="7" t="s">
        <v>303</v>
      </c>
      <c r="G45" s="8">
        <v>84</v>
      </c>
      <c r="H45" s="8" t="s">
        <v>192</v>
      </c>
      <c r="I45" s="8" t="s">
        <v>3</v>
      </c>
      <c r="J45" s="7" t="s">
        <v>361</v>
      </c>
      <c r="K45" s="32"/>
      <c r="L45" s="7" t="s">
        <v>7</v>
      </c>
    </row>
    <row r="46" spans="1:12" x14ac:dyDescent="0.3">
      <c r="A46" s="3">
        <v>-2570.3333333333298</v>
      </c>
      <c r="B46" s="3"/>
      <c r="C46" s="6">
        <v>44</v>
      </c>
      <c r="D46" s="8" t="s">
        <v>96</v>
      </c>
      <c r="E46" s="8" t="s">
        <v>274</v>
      </c>
      <c r="F46" s="7" t="s">
        <v>316</v>
      </c>
      <c r="G46" s="8">
        <v>200</v>
      </c>
      <c r="H46" s="8" t="s">
        <v>192</v>
      </c>
      <c r="I46" s="8" t="s">
        <v>3</v>
      </c>
      <c r="J46" s="7" t="s">
        <v>98</v>
      </c>
      <c r="K46" s="7" t="s">
        <v>34</v>
      </c>
      <c r="L46" s="7" t="s">
        <v>97</v>
      </c>
    </row>
    <row r="47" spans="1:12" x14ac:dyDescent="0.3">
      <c r="A47" s="3">
        <v>-2636.3333333333298</v>
      </c>
      <c r="B47" s="3"/>
      <c r="C47" s="6">
        <v>45</v>
      </c>
      <c r="D47" s="8" t="s">
        <v>99</v>
      </c>
      <c r="E47" s="8" t="s">
        <v>274</v>
      </c>
      <c r="F47" s="7" t="s">
        <v>335</v>
      </c>
      <c r="G47" s="8">
        <v>137</v>
      </c>
      <c r="H47" s="8" t="s">
        <v>192</v>
      </c>
      <c r="I47" s="8" t="s">
        <v>3</v>
      </c>
      <c r="J47" s="7" t="s">
        <v>98</v>
      </c>
      <c r="K47" s="7" t="s">
        <v>34</v>
      </c>
      <c r="L47" s="7" t="s">
        <v>36</v>
      </c>
    </row>
  </sheetData>
  <sheetProtection algorithmName="SHA-512" hashValue="lsb6fM8ZoU5TI6pnJwGu/oEH0A86xAI4c8URe8c4/rDyCthhPYjNSBNV4ISQsIzon5SyNpl5eGbeXh6kMBqETQ==" saltValue="poKF3fsd4rTlw1AvGIugdQ==" spinCount="100000" sheet="1" objects="1" scenarios="1" selectLockedCells="1" selectUnlockedCells="1"/>
  <mergeCells count="7">
    <mergeCell ref="L1:L2"/>
    <mergeCell ref="C1:C2"/>
    <mergeCell ref="D1:D2"/>
    <mergeCell ref="E1:E2"/>
    <mergeCell ref="F1:H1"/>
    <mergeCell ref="I1:I2"/>
    <mergeCell ref="J1:K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9"/>
  <sheetViews>
    <sheetView zoomScale="80" zoomScaleNormal="80" workbookViewId="0">
      <pane ySplit="3" topLeftCell="A4" activePane="bottomLeft" state="frozen"/>
      <selection pane="bottomLeft" activeCell="C4" sqref="C4"/>
    </sheetView>
  </sheetViews>
  <sheetFormatPr defaultRowHeight="16.5" x14ac:dyDescent="0.3"/>
  <cols>
    <col min="1" max="2" width="5.125" customWidth="1"/>
    <col min="3" max="3" width="15.625" style="4" customWidth="1"/>
    <col min="4" max="4" width="9" style="3"/>
    <col min="5" max="5" width="16.5" customWidth="1"/>
    <col min="6" max="6" width="9" customWidth="1"/>
    <col min="7" max="7" width="9" style="3" customWidth="1"/>
    <col min="8" max="8" width="9" style="3"/>
    <col min="9" max="11" width="9.875" style="3" customWidth="1"/>
    <col min="12" max="35" width="7.125" customWidth="1"/>
  </cols>
  <sheetData>
    <row r="1" spans="2:36" x14ac:dyDescent="0.3">
      <c r="B1" s="51" t="s">
        <v>0</v>
      </c>
      <c r="C1" s="54" t="s">
        <v>267</v>
      </c>
      <c r="D1" s="54" t="s">
        <v>112</v>
      </c>
      <c r="E1" s="54"/>
      <c r="F1" s="54"/>
      <c r="G1" s="54"/>
      <c r="H1" s="54"/>
      <c r="I1" s="54" t="s">
        <v>100</v>
      </c>
      <c r="J1" s="54"/>
      <c r="K1" s="63"/>
      <c r="L1" s="55" t="s">
        <v>113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6" t="s">
        <v>101</v>
      </c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2:36" x14ac:dyDescent="0.3">
      <c r="B2" s="52"/>
      <c r="C2" s="54"/>
      <c r="D2" s="54" t="s">
        <v>1</v>
      </c>
      <c r="E2" s="57" t="s">
        <v>137</v>
      </c>
      <c r="F2" s="5" t="s">
        <v>138</v>
      </c>
      <c r="G2" s="13" t="s">
        <v>27</v>
      </c>
      <c r="H2" s="14" t="s">
        <v>139</v>
      </c>
      <c r="I2" s="59" t="s">
        <v>366</v>
      </c>
      <c r="J2" s="54" t="s">
        <v>282</v>
      </c>
      <c r="K2" s="60" t="s">
        <v>367</v>
      </c>
      <c r="L2" s="9" t="s">
        <v>102</v>
      </c>
      <c r="M2" s="5" t="s">
        <v>103</v>
      </c>
      <c r="N2" s="5" t="s">
        <v>104</v>
      </c>
      <c r="O2" s="5" t="s">
        <v>105</v>
      </c>
      <c r="P2" s="5" t="s">
        <v>106</v>
      </c>
      <c r="Q2" s="5" t="s">
        <v>114</v>
      </c>
      <c r="R2" s="5" t="s">
        <v>115</v>
      </c>
      <c r="S2" s="5" t="s">
        <v>116</v>
      </c>
      <c r="T2" s="5" t="s">
        <v>107</v>
      </c>
      <c r="U2" s="5" t="s">
        <v>108</v>
      </c>
      <c r="V2" s="5" t="s">
        <v>117</v>
      </c>
      <c r="W2" s="62" t="s">
        <v>46</v>
      </c>
      <c r="X2" s="55"/>
      <c r="Y2" s="5" t="s">
        <v>102</v>
      </c>
      <c r="Z2" s="5" t="s">
        <v>103</v>
      </c>
      <c r="AA2" s="5" t="s">
        <v>104</v>
      </c>
      <c r="AB2" s="5" t="s">
        <v>105</v>
      </c>
      <c r="AC2" s="5" t="s">
        <v>106</v>
      </c>
      <c r="AD2" s="5" t="s">
        <v>114</v>
      </c>
      <c r="AE2" s="5" t="s">
        <v>115</v>
      </c>
      <c r="AF2" s="5" t="s">
        <v>116</v>
      </c>
      <c r="AG2" s="5" t="s">
        <v>107</v>
      </c>
      <c r="AH2" s="5" t="s">
        <v>108</v>
      </c>
      <c r="AI2" s="5" t="s">
        <v>117</v>
      </c>
      <c r="AJ2" s="5" t="s">
        <v>144</v>
      </c>
    </row>
    <row r="3" spans="2:36" x14ac:dyDescent="0.3">
      <c r="B3" s="53"/>
      <c r="C3" s="54"/>
      <c r="D3" s="54"/>
      <c r="E3" s="58"/>
      <c r="F3" s="5" t="s">
        <v>109</v>
      </c>
      <c r="G3" s="5" t="s">
        <v>109</v>
      </c>
      <c r="H3" s="5" t="s">
        <v>109</v>
      </c>
      <c r="I3" s="54"/>
      <c r="J3" s="54"/>
      <c r="K3" s="61"/>
      <c r="L3" s="9" t="s">
        <v>109</v>
      </c>
      <c r="M3" s="5" t="s">
        <v>109</v>
      </c>
      <c r="N3" s="5" t="s">
        <v>109</v>
      </c>
      <c r="O3" s="5" t="s">
        <v>109</v>
      </c>
      <c r="P3" s="5" t="s">
        <v>110</v>
      </c>
      <c r="Q3" s="5" t="s">
        <v>110</v>
      </c>
      <c r="R3" s="5" t="s">
        <v>110</v>
      </c>
      <c r="S3" s="5" t="s">
        <v>110</v>
      </c>
      <c r="T3" s="5" t="s">
        <v>110</v>
      </c>
      <c r="U3" s="5" t="s">
        <v>110</v>
      </c>
      <c r="V3" s="5" t="s">
        <v>110</v>
      </c>
      <c r="W3" s="5" t="s">
        <v>111</v>
      </c>
      <c r="X3" s="5" t="s">
        <v>118</v>
      </c>
      <c r="Y3" s="5" t="s">
        <v>109</v>
      </c>
      <c r="Z3" s="5" t="s">
        <v>109</v>
      </c>
      <c r="AA3" s="5" t="s">
        <v>109</v>
      </c>
      <c r="AB3" s="5" t="s">
        <v>109</v>
      </c>
      <c r="AC3" s="5" t="s">
        <v>110</v>
      </c>
      <c r="AD3" s="5" t="s">
        <v>110</v>
      </c>
      <c r="AE3" s="5" t="s">
        <v>110</v>
      </c>
      <c r="AF3" s="5" t="s">
        <v>110</v>
      </c>
      <c r="AG3" s="5" t="s">
        <v>110</v>
      </c>
      <c r="AH3" s="5" t="s">
        <v>110</v>
      </c>
      <c r="AI3" s="5" t="s">
        <v>110</v>
      </c>
      <c r="AJ3" s="5" t="s">
        <v>145</v>
      </c>
    </row>
    <row r="4" spans="2:36" x14ac:dyDescent="0.3">
      <c r="B4" s="6">
        <v>1</v>
      </c>
      <c r="C4" s="8" t="s">
        <v>2</v>
      </c>
      <c r="D4" s="6" t="s">
        <v>18</v>
      </c>
      <c r="E4" s="10" t="s">
        <v>119</v>
      </c>
      <c r="F4" s="6">
        <v>80</v>
      </c>
      <c r="G4" s="15">
        <v>29</v>
      </c>
      <c r="H4" s="6">
        <v>51</v>
      </c>
      <c r="I4" s="6" t="s">
        <v>365</v>
      </c>
      <c r="J4" s="6" t="s">
        <v>283</v>
      </c>
      <c r="K4" s="28">
        <v>1.63</v>
      </c>
      <c r="L4" s="11"/>
      <c r="M4" s="12"/>
      <c r="N4" s="12"/>
      <c r="O4" s="12"/>
      <c r="P4" s="7">
        <v>31</v>
      </c>
      <c r="Q4" s="7">
        <v>88.2</v>
      </c>
      <c r="R4" s="7">
        <v>60</v>
      </c>
      <c r="S4" s="7">
        <v>69.2</v>
      </c>
      <c r="T4" s="7"/>
      <c r="U4" s="7"/>
      <c r="V4" s="7">
        <v>67.400000000000006</v>
      </c>
      <c r="W4" s="7">
        <v>0.56000000000000005</v>
      </c>
      <c r="X4" s="7"/>
      <c r="Y4" s="17">
        <f>$G4*$P4/100</f>
        <v>8.99</v>
      </c>
      <c r="Z4" s="17">
        <f>$H4-$AB4</f>
        <v>6.0180000000000007</v>
      </c>
      <c r="AA4" s="17">
        <f>$G4-$Y4</f>
        <v>20.009999999999998</v>
      </c>
      <c r="AB4" s="17">
        <f>H4*Q4/100</f>
        <v>44.981999999999999</v>
      </c>
      <c r="AC4" s="7">
        <f>$Y4/($Y4+$AA4)</f>
        <v>0.31</v>
      </c>
      <c r="AD4" s="7">
        <f>$AB4/($Z4+$AB4)</f>
        <v>0.88200000000000001</v>
      </c>
      <c r="AE4" s="7">
        <f>$Y4/(Y4+$Z4)</f>
        <v>0.59901385927505324</v>
      </c>
      <c r="AF4" s="7">
        <f>$AB4/($AA4+$AB4)</f>
        <v>0.69211595273264415</v>
      </c>
      <c r="AG4" s="7">
        <f>$AC4/(1-$AD4)</f>
        <v>2.6271186440677967</v>
      </c>
      <c r="AH4" s="7">
        <f>(1-$AC4)/$AD4</f>
        <v>0.78231292517006801</v>
      </c>
      <c r="AI4" s="7">
        <f>(Y4+AB4)/(Y4+Z4+AA4+AB4)</f>
        <v>0.67464999999999997</v>
      </c>
      <c r="AJ4" s="20">
        <f>($Y4*$AB4)/($Z4*$AA4)</f>
        <v>3.3581429624170962</v>
      </c>
    </row>
    <row r="5" spans="2:36" x14ac:dyDescent="0.3">
      <c r="B5" s="6">
        <v>2</v>
      </c>
      <c r="C5" s="8" t="s">
        <v>8</v>
      </c>
      <c r="D5" s="6" t="s">
        <v>130</v>
      </c>
      <c r="E5" s="10" t="s">
        <v>120</v>
      </c>
      <c r="F5" s="6">
        <v>100</v>
      </c>
      <c r="G5" s="15">
        <f>33+17+15</f>
        <v>65</v>
      </c>
      <c r="H5" s="6">
        <f>7+28</f>
        <v>35</v>
      </c>
      <c r="I5" s="6" t="s">
        <v>365</v>
      </c>
      <c r="J5" s="6" t="s">
        <v>283</v>
      </c>
      <c r="K5" s="37" t="s">
        <v>208</v>
      </c>
      <c r="L5" s="11"/>
      <c r="M5" s="12"/>
      <c r="N5" s="12"/>
      <c r="O5" s="12"/>
      <c r="P5" s="7"/>
      <c r="Q5" s="7"/>
      <c r="R5" s="7"/>
      <c r="S5" s="7"/>
      <c r="T5" s="7"/>
      <c r="U5" s="7"/>
      <c r="V5" s="7"/>
      <c r="W5" s="7">
        <v>0.73</v>
      </c>
      <c r="X5" s="7"/>
      <c r="Y5" s="17"/>
      <c r="Z5" s="17"/>
      <c r="AA5" s="17"/>
      <c r="AB5" s="17"/>
      <c r="AC5" s="7"/>
      <c r="AD5" s="7"/>
      <c r="AE5" s="7"/>
      <c r="AF5" s="7"/>
      <c r="AG5" s="7"/>
      <c r="AH5" s="7"/>
      <c r="AI5" s="7"/>
      <c r="AJ5" s="20"/>
    </row>
    <row r="6" spans="2:36" x14ac:dyDescent="0.3">
      <c r="B6" s="6">
        <v>3</v>
      </c>
      <c r="C6" s="8" t="s">
        <v>11</v>
      </c>
      <c r="D6" s="6" t="s">
        <v>131</v>
      </c>
      <c r="E6" s="10" t="s">
        <v>121</v>
      </c>
      <c r="F6" s="6">
        <v>100</v>
      </c>
      <c r="G6" s="6" t="s">
        <v>283</v>
      </c>
      <c r="H6" s="6" t="s">
        <v>283</v>
      </c>
      <c r="I6" s="6" t="s">
        <v>133</v>
      </c>
      <c r="J6" s="6" t="s">
        <v>283</v>
      </c>
      <c r="K6" s="28" t="s">
        <v>283</v>
      </c>
      <c r="L6" s="31" t="s">
        <v>283</v>
      </c>
      <c r="M6" s="31" t="s">
        <v>283</v>
      </c>
      <c r="N6" s="31" t="s">
        <v>283</v>
      </c>
      <c r="O6" s="31" t="s">
        <v>283</v>
      </c>
      <c r="P6" s="6" t="s">
        <v>283</v>
      </c>
      <c r="Q6" s="6" t="s">
        <v>283</v>
      </c>
      <c r="R6" s="6" t="s">
        <v>283</v>
      </c>
      <c r="S6" s="6" t="s">
        <v>283</v>
      </c>
      <c r="T6" s="6" t="s">
        <v>283</v>
      </c>
      <c r="U6" s="6" t="s">
        <v>283</v>
      </c>
      <c r="V6" s="6" t="s">
        <v>283</v>
      </c>
      <c r="W6" s="6" t="s">
        <v>283</v>
      </c>
      <c r="X6" s="6" t="s">
        <v>283</v>
      </c>
      <c r="Y6" s="16" t="s">
        <v>283</v>
      </c>
      <c r="Z6" s="16" t="s">
        <v>283</v>
      </c>
      <c r="AA6" s="16" t="s">
        <v>283</v>
      </c>
      <c r="AB6" s="16" t="s">
        <v>283</v>
      </c>
      <c r="AC6" s="6" t="s">
        <v>283</v>
      </c>
      <c r="AD6" s="6" t="s">
        <v>283</v>
      </c>
      <c r="AE6" s="6" t="s">
        <v>283</v>
      </c>
      <c r="AF6" s="6" t="s">
        <v>283</v>
      </c>
      <c r="AG6" s="6" t="s">
        <v>283</v>
      </c>
      <c r="AH6" s="6" t="s">
        <v>283</v>
      </c>
      <c r="AI6" s="6" t="s">
        <v>283</v>
      </c>
      <c r="AJ6" s="6" t="s">
        <v>283</v>
      </c>
    </row>
    <row r="7" spans="2:36" x14ac:dyDescent="0.3">
      <c r="B7" s="6">
        <v>4</v>
      </c>
      <c r="C7" s="8" t="s">
        <v>14</v>
      </c>
      <c r="D7" s="6" t="s">
        <v>131</v>
      </c>
      <c r="E7" s="10" t="s">
        <v>122</v>
      </c>
      <c r="F7" s="6">
        <v>102</v>
      </c>
      <c r="G7" s="6" t="s">
        <v>283</v>
      </c>
      <c r="H7" s="6" t="s">
        <v>283</v>
      </c>
      <c r="I7" s="6" t="s">
        <v>365</v>
      </c>
      <c r="J7" s="6" t="s">
        <v>283</v>
      </c>
      <c r="K7" s="28" t="s">
        <v>283</v>
      </c>
      <c r="L7" s="31" t="s">
        <v>283</v>
      </c>
      <c r="M7" s="31" t="s">
        <v>283</v>
      </c>
      <c r="N7" s="31" t="s">
        <v>283</v>
      </c>
      <c r="O7" s="31" t="s">
        <v>283</v>
      </c>
      <c r="P7" s="6" t="s">
        <v>283</v>
      </c>
      <c r="Q7" s="6" t="s">
        <v>283</v>
      </c>
      <c r="R7" s="6" t="s">
        <v>283</v>
      </c>
      <c r="S7" s="6" t="s">
        <v>283</v>
      </c>
      <c r="T7" s="6" t="s">
        <v>283</v>
      </c>
      <c r="U7" s="6" t="s">
        <v>283</v>
      </c>
      <c r="V7" s="6" t="s">
        <v>283</v>
      </c>
      <c r="W7" s="6" t="s">
        <v>283</v>
      </c>
      <c r="X7" s="6" t="s">
        <v>283</v>
      </c>
      <c r="Y7" s="16" t="s">
        <v>283</v>
      </c>
      <c r="Z7" s="16" t="s">
        <v>283</v>
      </c>
      <c r="AA7" s="16" t="s">
        <v>283</v>
      </c>
      <c r="AB7" s="16" t="s">
        <v>283</v>
      </c>
      <c r="AC7" s="6" t="s">
        <v>283</v>
      </c>
      <c r="AD7" s="6" t="s">
        <v>283</v>
      </c>
      <c r="AE7" s="6" t="s">
        <v>283</v>
      </c>
      <c r="AF7" s="6" t="s">
        <v>283</v>
      </c>
      <c r="AG7" s="6" t="s">
        <v>283</v>
      </c>
      <c r="AH7" s="6" t="s">
        <v>283</v>
      </c>
      <c r="AI7" s="6" t="s">
        <v>283</v>
      </c>
      <c r="AJ7" s="6" t="s">
        <v>283</v>
      </c>
    </row>
    <row r="8" spans="2:36" x14ac:dyDescent="0.3">
      <c r="B8" s="6"/>
      <c r="C8" s="8"/>
      <c r="D8" s="6"/>
      <c r="E8" s="10"/>
      <c r="F8" s="6">
        <v>102</v>
      </c>
      <c r="G8" s="6" t="s">
        <v>283</v>
      </c>
      <c r="H8" s="6" t="s">
        <v>283</v>
      </c>
      <c r="I8" s="6" t="s">
        <v>283</v>
      </c>
      <c r="J8" s="6" t="s">
        <v>135</v>
      </c>
      <c r="K8" s="28" t="s">
        <v>283</v>
      </c>
      <c r="L8" s="31" t="s">
        <v>283</v>
      </c>
      <c r="M8" s="31" t="s">
        <v>283</v>
      </c>
      <c r="N8" s="31" t="s">
        <v>283</v>
      </c>
      <c r="O8" s="31" t="s">
        <v>283</v>
      </c>
      <c r="P8" s="6" t="s">
        <v>283</v>
      </c>
      <c r="Q8" s="6" t="s">
        <v>283</v>
      </c>
      <c r="R8" s="6" t="s">
        <v>283</v>
      </c>
      <c r="S8" s="6" t="s">
        <v>283</v>
      </c>
      <c r="T8" s="6" t="s">
        <v>283</v>
      </c>
      <c r="U8" s="6" t="s">
        <v>283</v>
      </c>
      <c r="V8" s="6" t="s">
        <v>283</v>
      </c>
      <c r="W8" s="6" t="s">
        <v>283</v>
      </c>
      <c r="X8" s="6" t="s">
        <v>283</v>
      </c>
      <c r="Y8" s="16" t="s">
        <v>283</v>
      </c>
      <c r="Z8" s="16" t="s">
        <v>283</v>
      </c>
      <c r="AA8" s="16" t="s">
        <v>283</v>
      </c>
      <c r="AB8" s="16" t="s">
        <v>283</v>
      </c>
      <c r="AC8" s="6" t="s">
        <v>283</v>
      </c>
      <c r="AD8" s="6" t="s">
        <v>283</v>
      </c>
      <c r="AE8" s="6" t="s">
        <v>283</v>
      </c>
      <c r="AF8" s="6" t="s">
        <v>283</v>
      </c>
      <c r="AG8" s="6" t="s">
        <v>283</v>
      </c>
      <c r="AH8" s="6" t="s">
        <v>283</v>
      </c>
      <c r="AI8" s="6" t="s">
        <v>283</v>
      </c>
      <c r="AJ8" s="6" t="s">
        <v>283</v>
      </c>
    </row>
    <row r="9" spans="2:36" x14ac:dyDescent="0.3">
      <c r="B9" s="6">
        <v>5</v>
      </c>
      <c r="C9" s="8" t="s">
        <v>17</v>
      </c>
      <c r="D9" s="6" t="s">
        <v>18</v>
      </c>
      <c r="E9" s="10" t="s">
        <v>123</v>
      </c>
      <c r="F9" s="6">
        <v>113</v>
      </c>
      <c r="G9" s="15">
        <f>27+20+13</f>
        <v>60</v>
      </c>
      <c r="H9" s="6">
        <f>19+26+6+2</f>
        <v>53</v>
      </c>
      <c r="I9" s="6" t="s">
        <v>365</v>
      </c>
      <c r="J9" s="6" t="s">
        <v>283</v>
      </c>
      <c r="K9" s="28">
        <v>0.65</v>
      </c>
      <c r="L9" s="11"/>
      <c r="M9" s="12"/>
      <c r="N9" s="12"/>
      <c r="O9" s="12"/>
      <c r="P9" s="7">
        <v>70.5</v>
      </c>
      <c r="Q9" s="7">
        <v>84.6</v>
      </c>
      <c r="R9" s="7"/>
      <c r="S9" s="7"/>
      <c r="T9" s="7"/>
      <c r="U9" s="7"/>
      <c r="V9" s="7"/>
      <c r="W9" s="7">
        <v>0.81899999999999995</v>
      </c>
      <c r="X9" s="7" t="s">
        <v>146</v>
      </c>
      <c r="Y9" s="17">
        <f>$G9*$P9/100</f>
        <v>42.3</v>
      </c>
      <c r="Z9" s="17">
        <f>$H9-$AB9</f>
        <v>8.1620000000000061</v>
      </c>
      <c r="AA9" s="17">
        <f>$G9-$Y9</f>
        <v>17.700000000000003</v>
      </c>
      <c r="AB9" s="17">
        <f>H9*Q9/100</f>
        <v>44.837999999999994</v>
      </c>
      <c r="AC9" s="7">
        <f t="shared" ref="AC9:AC27" si="0">$Y9/($Y9+$AA9)</f>
        <v>0.70499999999999996</v>
      </c>
      <c r="AD9" s="7">
        <f t="shared" ref="AD9:AD27" si="1">$AB9/($Z9+$AB9)</f>
        <v>0.84599999999999986</v>
      </c>
      <c r="AE9" s="7">
        <f t="shared" ref="AE9:AE17" si="2">$Y9/(Y9+$Z9)</f>
        <v>0.83825452815980328</v>
      </c>
      <c r="AF9" s="7">
        <f t="shared" ref="AF9:AF27" si="3">$AB9/($AA9+$AB9)</f>
        <v>0.71697208097476728</v>
      </c>
      <c r="AG9" s="7">
        <f t="shared" ref="AG9:AG27" si="4">$AC9/(1-$AD9)</f>
        <v>4.5779220779220733</v>
      </c>
      <c r="AH9" s="7">
        <f t="shared" ref="AH9:AH27" si="5">(1-$AC9)/$AD9</f>
        <v>0.34869976359338073</v>
      </c>
      <c r="AI9" s="7">
        <f t="shared" ref="AI9:AI17" si="6">(Y9+AB9)/(Y9+Z9+AA9+AB9)</f>
        <v>0.77113274336283177</v>
      </c>
      <c r="AJ9" s="20">
        <f t="shared" ref="AJ9:AJ27" si="7">($Y9*$AB9)/($Z9*$AA9)</f>
        <v>13.128549416684994</v>
      </c>
    </row>
    <row r="10" spans="2:36" x14ac:dyDescent="0.3">
      <c r="B10" s="6">
        <v>6</v>
      </c>
      <c r="C10" s="8" t="s">
        <v>20</v>
      </c>
      <c r="D10" s="6" t="s">
        <v>131</v>
      </c>
      <c r="E10" s="10" t="s">
        <v>124</v>
      </c>
      <c r="F10" s="6">
        <v>233</v>
      </c>
      <c r="G10" s="15">
        <f>39+12+2</f>
        <v>53</v>
      </c>
      <c r="H10" s="6">
        <f>49+131</f>
        <v>180</v>
      </c>
      <c r="I10" s="6" t="s">
        <v>365</v>
      </c>
      <c r="J10" s="6" t="s">
        <v>283</v>
      </c>
      <c r="K10" s="28">
        <v>1.1499999999999999</v>
      </c>
      <c r="L10" s="11"/>
      <c r="M10" s="12"/>
      <c r="N10" s="12"/>
      <c r="O10" s="12"/>
      <c r="P10" s="7">
        <v>56.6</v>
      </c>
      <c r="Q10" s="7">
        <v>74.400000000000006</v>
      </c>
      <c r="R10" s="7">
        <v>39.5</v>
      </c>
      <c r="S10" s="7">
        <v>85.4</v>
      </c>
      <c r="T10" s="7">
        <v>2.2149999999999999</v>
      </c>
      <c r="U10" s="7">
        <v>0.58299999999999996</v>
      </c>
      <c r="V10" s="7"/>
      <c r="W10" s="7">
        <v>0.66</v>
      </c>
      <c r="X10" s="7" t="s">
        <v>216</v>
      </c>
      <c r="Y10" s="17">
        <f>$G10*$P10/100</f>
        <v>29.998000000000001</v>
      </c>
      <c r="Z10" s="17">
        <f>$H10-$AB10</f>
        <v>46.079999999999984</v>
      </c>
      <c r="AA10" s="17">
        <f>$G10-$Y10</f>
        <v>23.001999999999999</v>
      </c>
      <c r="AB10" s="17">
        <f>H10*Q10/100</f>
        <v>133.92000000000002</v>
      </c>
      <c r="AC10" s="7">
        <f t="shared" si="0"/>
        <v>0.56600000000000006</v>
      </c>
      <c r="AD10" s="7">
        <f t="shared" si="1"/>
        <v>0.74400000000000011</v>
      </c>
      <c r="AE10" s="7">
        <f t="shared" si="2"/>
        <v>0.39430584400220831</v>
      </c>
      <c r="AF10" s="7">
        <f t="shared" si="3"/>
        <v>0.85341762149348077</v>
      </c>
      <c r="AG10" s="7">
        <f t="shared" si="4"/>
        <v>2.2109375000000013</v>
      </c>
      <c r="AH10" s="7">
        <f t="shared" si="5"/>
        <v>0.58333333333333315</v>
      </c>
      <c r="AI10" s="7">
        <f t="shared" si="6"/>
        <v>0.70351072961373395</v>
      </c>
      <c r="AJ10" s="20">
        <f t="shared" si="7"/>
        <v>3.7901785714285734</v>
      </c>
    </row>
    <row r="11" spans="2:36" x14ac:dyDescent="0.3">
      <c r="B11" s="6"/>
      <c r="C11" s="8"/>
      <c r="D11" s="6"/>
      <c r="E11" s="10"/>
      <c r="F11" s="6">
        <v>234</v>
      </c>
      <c r="G11" s="15">
        <f>39+12+2</f>
        <v>53</v>
      </c>
      <c r="H11" s="6">
        <f>49+131</f>
        <v>180</v>
      </c>
      <c r="I11" s="6" t="s">
        <v>283</v>
      </c>
      <c r="J11" s="6" t="s">
        <v>136</v>
      </c>
      <c r="K11" s="37" t="s">
        <v>208</v>
      </c>
      <c r="L11" s="11"/>
      <c r="M11" s="12"/>
      <c r="N11" s="12"/>
      <c r="O11" s="12"/>
      <c r="P11" s="7"/>
      <c r="Q11" s="7"/>
      <c r="R11" s="7"/>
      <c r="S11" s="7"/>
      <c r="T11" s="7"/>
      <c r="U11" s="7"/>
      <c r="V11" s="7"/>
      <c r="W11" s="7">
        <v>0.67</v>
      </c>
      <c r="X11" s="35" t="s">
        <v>225</v>
      </c>
      <c r="Y11" s="17"/>
      <c r="Z11" s="17"/>
      <c r="AA11" s="17"/>
      <c r="AB11" s="17"/>
      <c r="AC11" s="7"/>
      <c r="AD11" s="7"/>
      <c r="AE11" s="7"/>
      <c r="AF11" s="7"/>
      <c r="AG11" s="7"/>
      <c r="AH11" s="7"/>
      <c r="AI11" s="7"/>
      <c r="AJ11" s="20"/>
    </row>
    <row r="12" spans="2:36" x14ac:dyDescent="0.3">
      <c r="B12" s="6">
        <v>7</v>
      </c>
      <c r="C12" s="8" t="s">
        <v>22</v>
      </c>
      <c r="D12" s="6" t="s">
        <v>130</v>
      </c>
      <c r="E12" s="10" t="s">
        <v>120</v>
      </c>
      <c r="F12" s="6">
        <v>141</v>
      </c>
      <c r="G12" s="15">
        <f>27+26+24</f>
        <v>77</v>
      </c>
      <c r="H12" s="6">
        <f>6+58</f>
        <v>64</v>
      </c>
      <c r="I12" s="6" t="s">
        <v>365</v>
      </c>
      <c r="J12" s="6" t="s">
        <v>283</v>
      </c>
      <c r="K12" s="28">
        <v>2.2000000000000002</v>
      </c>
      <c r="L12" s="11"/>
      <c r="M12" s="12"/>
      <c r="N12" s="12"/>
      <c r="O12" s="12"/>
      <c r="P12" s="7">
        <v>65.8</v>
      </c>
      <c r="Q12" s="7">
        <v>82.3</v>
      </c>
      <c r="R12" s="7"/>
      <c r="S12" s="7"/>
      <c r="T12" s="7"/>
      <c r="U12" s="7"/>
      <c r="V12" s="7"/>
      <c r="W12" s="7">
        <v>0.79</v>
      </c>
      <c r="X12" s="7"/>
      <c r="Y12" s="17">
        <f t="shared" ref="Y12:Y18" si="8">$G12*$P12/100</f>
        <v>50.665999999999997</v>
      </c>
      <c r="Z12" s="17">
        <f t="shared" ref="Z12:Z18" si="9">$H12-$AB12</f>
        <v>11.328000000000003</v>
      </c>
      <c r="AA12" s="17">
        <f t="shared" ref="AA12:AA18" si="10">$G12-$Y12</f>
        <v>26.334000000000003</v>
      </c>
      <c r="AB12" s="17">
        <f t="shared" ref="AB12:AB18" si="11">H12*Q12/100</f>
        <v>52.671999999999997</v>
      </c>
      <c r="AC12" s="7">
        <f t="shared" si="0"/>
        <v>0.65799999999999992</v>
      </c>
      <c r="AD12" s="7">
        <f t="shared" si="1"/>
        <v>0.82299999999999995</v>
      </c>
      <c r="AE12" s="7">
        <f t="shared" si="2"/>
        <v>0.81727263928767291</v>
      </c>
      <c r="AF12" s="7">
        <f t="shared" si="3"/>
        <v>0.66668354302204891</v>
      </c>
      <c r="AG12" s="7">
        <f t="shared" si="4"/>
        <v>3.7175141242937837</v>
      </c>
      <c r="AH12" s="7">
        <f t="shared" si="5"/>
        <v>0.41555285540704751</v>
      </c>
      <c r="AI12" s="7">
        <f t="shared" si="6"/>
        <v>0.73289361702127653</v>
      </c>
      <c r="AJ12" s="20">
        <f t="shared" si="7"/>
        <v>8.9459477318531686</v>
      </c>
    </row>
    <row r="13" spans="2:36" x14ac:dyDescent="0.3">
      <c r="B13" s="6"/>
      <c r="C13" s="8"/>
      <c r="D13" s="6"/>
      <c r="E13" s="10"/>
      <c r="F13" s="6">
        <v>141</v>
      </c>
      <c r="G13" s="15">
        <v>77</v>
      </c>
      <c r="H13" s="6">
        <v>64</v>
      </c>
      <c r="I13" s="6" t="s">
        <v>283</v>
      </c>
      <c r="J13" s="6" t="s">
        <v>29</v>
      </c>
      <c r="K13" s="28" t="s">
        <v>368</v>
      </c>
      <c r="L13" s="11"/>
      <c r="M13" s="12"/>
      <c r="N13" s="12"/>
      <c r="O13" s="12"/>
      <c r="P13" s="7">
        <v>78.099999999999994</v>
      </c>
      <c r="Q13" s="7">
        <v>85.5</v>
      </c>
      <c r="R13" s="7"/>
      <c r="S13" s="7"/>
      <c r="T13" s="7"/>
      <c r="U13" s="7"/>
      <c r="V13" s="7"/>
      <c r="W13" s="7"/>
      <c r="X13" s="7"/>
      <c r="Y13" s="17">
        <f t="shared" si="8"/>
        <v>60.137</v>
      </c>
      <c r="Z13" s="17">
        <f t="shared" si="9"/>
        <v>9.2800000000000011</v>
      </c>
      <c r="AA13" s="17">
        <f t="shared" si="10"/>
        <v>16.863</v>
      </c>
      <c r="AB13" s="17">
        <f t="shared" si="11"/>
        <v>54.72</v>
      </c>
      <c r="AC13" s="7">
        <f t="shared" si="0"/>
        <v>0.78100000000000003</v>
      </c>
      <c r="AD13" s="7">
        <f t="shared" si="1"/>
        <v>0.85499999999999998</v>
      </c>
      <c r="AE13" s="7">
        <f t="shared" ref="AE13" si="12">$Y13/(Y13+$Z13)</f>
        <v>0.86631516775429651</v>
      </c>
      <c r="AF13" s="7">
        <f t="shared" si="3"/>
        <v>0.76442730815975857</v>
      </c>
      <c r="AG13" s="7">
        <f t="shared" si="4"/>
        <v>5.386206896551724</v>
      </c>
      <c r="AH13" s="7">
        <f t="shared" si="5"/>
        <v>0.25614035087719295</v>
      </c>
      <c r="AI13" s="7">
        <f t="shared" ref="AI13" si="13">(Y13+AB13)/(Y13+Z13+AA13+AB13)</f>
        <v>0.81458865248226953</v>
      </c>
      <c r="AJ13" s="20">
        <f t="shared" si="7"/>
        <v>21.028341993386867</v>
      </c>
    </row>
    <row r="14" spans="2:36" x14ac:dyDescent="0.3">
      <c r="B14" s="6"/>
      <c r="C14" s="8"/>
      <c r="D14" s="6"/>
      <c r="E14" s="10"/>
      <c r="F14" s="6">
        <v>141</v>
      </c>
      <c r="G14" s="15">
        <v>77</v>
      </c>
      <c r="H14" s="6">
        <v>64</v>
      </c>
      <c r="I14" s="6" t="s">
        <v>283</v>
      </c>
      <c r="J14" s="6" t="s">
        <v>227</v>
      </c>
      <c r="K14" s="28" t="s">
        <v>369</v>
      </c>
      <c r="L14" s="11"/>
      <c r="M14" s="12"/>
      <c r="N14" s="12"/>
      <c r="O14" s="12"/>
      <c r="P14" s="7">
        <v>79.5</v>
      </c>
      <c r="Q14" s="7">
        <v>80.7</v>
      </c>
      <c r="R14" s="7"/>
      <c r="S14" s="7"/>
      <c r="T14" s="7"/>
      <c r="U14" s="7"/>
      <c r="V14" s="7"/>
      <c r="W14" s="7"/>
      <c r="X14" s="7"/>
      <c r="Y14" s="17">
        <f t="shared" si="8"/>
        <v>61.215000000000003</v>
      </c>
      <c r="Z14" s="17">
        <f t="shared" si="9"/>
        <v>12.351999999999997</v>
      </c>
      <c r="AA14" s="17">
        <f t="shared" si="10"/>
        <v>15.784999999999997</v>
      </c>
      <c r="AB14" s="17">
        <f t="shared" si="11"/>
        <v>51.648000000000003</v>
      </c>
      <c r="AC14" s="7">
        <f t="shared" si="0"/>
        <v>0.79500000000000004</v>
      </c>
      <c r="AD14" s="7">
        <f t="shared" si="1"/>
        <v>0.80700000000000005</v>
      </c>
      <c r="AE14" s="7">
        <f t="shared" ref="AE14" si="14">$Y14/(Y14+$Z14)</f>
        <v>0.83209863117974092</v>
      </c>
      <c r="AF14" s="7">
        <f t="shared" si="3"/>
        <v>0.76591579790310393</v>
      </c>
      <c r="AG14" s="7">
        <f t="shared" si="4"/>
        <v>4.1191709844559599</v>
      </c>
      <c r="AH14" s="7">
        <f t="shared" si="5"/>
        <v>0.25402726146220561</v>
      </c>
      <c r="AI14" s="7">
        <f t="shared" ref="AI14" si="15">(Y14+AB14)/(Y14+Z14+AA14+AB14)</f>
        <v>0.80044680851063832</v>
      </c>
      <c r="AJ14" s="20">
        <f t="shared" si="7"/>
        <v>16.215468216858344</v>
      </c>
    </row>
    <row r="15" spans="2:36" x14ac:dyDescent="0.3">
      <c r="B15" s="6">
        <v>8</v>
      </c>
      <c r="C15" s="8" t="s">
        <v>25</v>
      </c>
      <c r="D15" s="6" t="s">
        <v>131</v>
      </c>
      <c r="E15" s="10" t="s">
        <v>124</v>
      </c>
      <c r="F15" s="6">
        <v>94</v>
      </c>
      <c r="G15" s="15">
        <f>35+9+1</f>
        <v>45</v>
      </c>
      <c r="H15" s="6">
        <f>11+38</f>
        <v>49</v>
      </c>
      <c r="I15" s="6" t="s">
        <v>365</v>
      </c>
      <c r="J15" s="6" t="s">
        <v>283</v>
      </c>
      <c r="K15" s="28">
        <v>1.08</v>
      </c>
      <c r="L15" s="11"/>
      <c r="M15" s="12"/>
      <c r="N15" s="12"/>
      <c r="O15" s="12"/>
      <c r="P15" s="7">
        <v>77.599999999999994</v>
      </c>
      <c r="Q15" s="7">
        <v>71.099999999999994</v>
      </c>
      <c r="R15" s="7">
        <v>74.5</v>
      </c>
      <c r="S15" s="7">
        <v>74.400000000000006</v>
      </c>
      <c r="T15" s="7"/>
      <c r="U15" s="7"/>
      <c r="V15" s="7"/>
      <c r="W15" s="7">
        <v>0.77800000000000002</v>
      </c>
      <c r="X15" s="7" t="s">
        <v>150</v>
      </c>
      <c r="Y15" s="17">
        <f t="shared" si="8"/>
        <v>34.919999999999995</v>
      </c>
      <c r="Z15" s="17">
        <f t="shared" si="9"/>
        <v>14.161000000000001</v>
      </c>
      <c r="AA15" s="17">
        <f t="shared" si="10"/>
        <v>10.080000000000005</v>
      </c>
      <c r="AB15" s="17">
        <f t="shared" si="11"/>
        <v>34.838999999999999</v>
      </c>
      <c r="AC15" s="7">
        <f t="shared" si="0"/>
        <v>0.77599999999999991</v>
      </c>
      <c r="AD15" s="7">
        <f t="shared" si="1"/>
        <v>0.71099999999999997</v>
      </c>
      <c r="AE15" s="7">
        <f t="shared" si="2"/>
        <v>0.71147694627248825</v>
      </c>
      <c r="AF15" s="7">
        <f t="shared" si="3"/>
        <v>0.77559607293127619</v>
      </c>
      <c r="AG15" s="7">
        <f t="shared" si="4"/>
        <v>2.6851211072664354</v>
      </c>
      <c r="AH15" s="7">
        <f t="shared" si="5"/>
        <v>0.31504922644163164</v>
      </c>
      <c r="AI15" s="7">
        <f t="shared" si="6"/>
        <v>0.74211702127659562</v>
      </c>
      <c r="AJ15" s="20">
        <f t="shared" si="7"/>
        <v>8.5228620860108677</v>
      </c>
    </row>
    <row r="16" spans="2:36" x14ac:dyDescent="0.3">
      <c r="B16" s="6"/>
      <c r="C16" s="8"/>
      <c r="D16" s="6"/>
      <c r="E16" s="10"/>
      <c r="F16" s="6">
        <v>94</v>
      </c>
      <c r="G16" s="15">
        <v>45</v>
      </c>
      <c r="H16" s="6">
        <v>49</v>
      </c>
      <c r="I16" s="6" t="s">
        <v>283</v>
      </c>
      <c r="J16" s="6" t="s">
        <v>9</v>
      </c>
      <c r="K16" s="28" t="s">
        <v>370</v>
      </c>
      <c r="L16" s="11"/>
      <c r="M16" s="12"/>
      <c r="N16" s="12"/>
      <c r="O16" s="12"/>
      <c r="P16" s="7">
        <v>71.400000000000006</v>
      </c>
      <c r="Q16" s="7">
        <v>64.400000000000006</v>
      </c>
      <c r="R16" s="7">
        <v>68.599999999999994</v>
      </c>
      <c r="S16" s="7">
        <v>67.400000000000006</v>
      </c>
      <c r="T16" s="7"/>
      <c r="U16" s="7"/>
      <c r="V16" s="7"/>
      <c r="W16" s="7">
        <v>0.70099999999999996</v>
      </c>
      <c r="X16" s="7" t="s">
        <v>229</v>
      </c>
      <c r="Y16" s="17">
        <f t="shared" si="8"/>
        <v>32.130000000000003</v>
      </c>
      <c r="Z16" s="17">
        <f t="shared" si="9"/>
        <v>17.443999999999996</v>
      </c>
      <c r="AA16" s="17">
        <f t="shared" si="10"/>
        <v>12.869999999999997</v>
      </c>
      <c r="AB16" s="17">
        <f t="shared" si="11"/>
        <v>31.556000000000004</v>
      </c>
      <c r="AC16" s="7">
        <f t="shared" si="0"/>
        <v>0.71400000000000008</v>
      </c>
      <c r="AD16" s="7">
        <f t="shared" si="1"/>
        <v>0.64400000000000013</v>
      </c>
      <c r="AE16" s="7">
        <f t="shared" ref="AE16" si="16">$Y16/(Y16+$Z16)</f>
        <v>0.64812199943518789</v>
      </c>
      <c r="AF16" s="7">
        <f t="shared" si="3"/>
        <v>0.71030477648224022</v>
      </c>
      <c r="AG16" s="7">
        <f t="shared" si="4"/>
        <v>2.0056179775280909</v>
      </c>
      <c r="AH16" s="7">
        <f t="shared" si="5"/>
        <v>0.44409937888198736</v>
      </c>
      <c r="AI16" s="7">
        <f t="shared" ref="AI16" si="17">(Y16+AB16)/(Y16+Z16+AA16+AB16)</f>
        <v>0.67751063829787239</v>
      </c>
      <c r="AJ16" s="20">
        <f t="shared" si="7"/>
        <v>4.5161467745737438</v>
      </c>
    </row>
    <row r="17" spans="2:36" x14ac:dyDescent="0.3">
      <c r="B17" s="6">
        <v>9</v>
      </c>
      <c r="C17" s="8" t="s">
        <v>28</v>
      </c>
      <c r="D17" s="6" t="s">
        <v>131</v>
      </c>
      <c r="E17" s="10" t="s">
        <v>189</v>
      </c>
      <c r="F17" s="6">
        <v>77</v>
      </c>
      <c r="G17" s="15">
        <f>9+8+18</f>
        <v>35</v>
      </c>
      <c r="H17" s="6">
        <f>27+15</f>
        <v>42</v>
      </c>
      <c r="I17" s="6" t="s">
        <v>365</v>
      </c>
      <c r="J17" s="6" t="s">
        <v>283</v>
      </c>
      <c r="K17" s="28">
        <v>1.06</v>
      </c>
      <c r="L17" s="11"/>
      <c r="M17" s="12"/>
      <c r="N17" s="12"/>
      <c r="O17" s="12"/>
      <c r="P17" s="7">
        <v>60</v>
      </c>
      <c r="Q17" s="7">
        <v>64.3</v>
      </c>
      <c r="R17" s="7"/>
      <c r="S17" s="7"/>
      <c r="T17" s="7"/>
      <c r="U17" s="7"/>
      <c r="V17" s="7"/>
      <c r="W17" s="7"/>
      <c r="X17" s="7"/>
      <c r="Y17" s="17">
        <f t="shared" si="8"/>
        <v>21</v>
      </c>
      <c r="Z17" s="17">
        <f t="shared" si="9"/>
        <v>14.994</v>
      </c>
      <c r="AA17" s="17">
        <f t="shared" si="10"/>
        <v>14</v>
      </c>
      <c r="AB17" s="17">
        <f t="shared" si="11"/>
        <v>27.006</v>
      </c>
      <c r="AC17" s="7">
        <f t="shared" si="0"/>
        <v>0.6</v>
      </c>
      <c r="AD17" s="7">
        <f t="shared" si="1"/>
        <v>0.64300000000000002</v>
      </c>
      <c r="AE17" s="7">
        <f t="shared" si="2"/>
        <v>0.58343057176196034</v>
      </c>
      <c r="AF17" s="7">
        <f t="shared" si="3"/>
        <v>0.65858654831000341</v>
      </c>
      <c r="AG17" s="7">
        <f t="shared" si="4"/>
        <v>1.680672268907563</v>
      </c>
      <c r="AH17" s="7">
        <f t="shared" si="5"/>
        <v>0.62208398133748055</v>
      </c>
      <c r="AI17" s="7">
        <f t="shared" si="6"/>
        <v>0.62345454545454548</v>
      </c>
      <c r="AJ17" s="20">
        <f t="shared" si="7"/>
        <v>2.7016806722689073</v>
      </c>
    </row>
    <row r="18" spans="2:36" x14ac:dyDescent="0.3">
      <c r="B18" s="6"/>
      <c r="C18" s="8"/>
      <c r="D18" s="6"/>
      <c r="E18" s="10"/>
      <c r="F18" s="6">
        <v>77</v>
      </c>
      <c r="G18" s="15">
        <f>9+8+18</f>
        <v>35</v>
      </c>
      <c r="H18" s="6">
        <f>27+15</f>
        <v>42</v>
      </c>
      <c r="I18" s="6" t="s">
        <v>283</v>
      </c>
      <c r="J18" s="6" t="s">
        <v>29</v>
      </c>
      <c r="K18" s="28" t="s">
        <v>371</v>
      </c>
      <c r="L18" s="11"/>
      <c r="M18" s="12"/>
      <c r="N18" s="12"/>
      <c r="O18" s="12"/>
      <c r="P18" s="7">
        <v>77.099999999999994</v>
      </c>
      <c r="Q18" s="7">
        <v>73.8</v>
      </c>
      <c r="R18" s="7"/>
      <c r="S18" s="7"/>
      <c r="T18" s="7"/>
      <c r="U18" s="7"/>
      <c r="V18" s="7"/>
      <c r="W18" s="7"/>
      <c r="X18" s="7"/>
      <c r="Y18" s="17">
        <f t="shared" si="8"/>
        <v>26.984999999999999</v>
      </c>
      <c r="Z18" s="17">
        <f t="shared" si="9"/>
        <v>11.004000000000001</v>
      </c>
      <c r="AA18" s="17">
        <f t="shared" si="10"/>
        <v>8.0150000000000006</v>
      </c>
      <c r="AB18" s="17">
        <f t="shared" si="11"/>
        <v>30.995999999999999</v>
      </c>
      <c r="AC18" s="7">
        <f t="shared" si="0"/>
        <v>0.77100000000000002</v>
      </c>
      <c r="AD18" s="7">
        <f t="shared" si="1"/>
        <v>0.73799999999999999</v>
      </c>
      <c r="AE18" s="7">
        <f t="shared" ref="AE18" si="18">$Y18/(Y18+$Z18)</f>
        <v>0.71033720287451618</v>
      </c>
      <c r="AF18" s="7">
        <f t="shared" si="3"/>
        <v>0.79454512829714696</v>
      </c>
      <c r="AG18" s="7">
        <f t="shared" si="4"/>
        <v>2.9427480916030535</v>
      </c>
      <c r="AH18" s="7">
        <f t="shared" si="5"/>
        <v>0.31029810298102978</v>
      </c>
      <c r="AI18" s="7">
        <f t="shared" ref="AI18" si="19">(Y18+AB18)/(Y18+Z18+AA18+AB18)</f>
        <v>0.75299999999999989</v>
      </c>
      <c r="AJ18" s="20">
        <f t="shared" si="7"/>
        <v>9.4836161205373486</v>
      </c>
    </row>
    <row r="19" spans="2:36" x14ac:dyDescent="0.3">
      <c r="B19" s="6">
        <v>10</v>
      </c>
      <c r="C19" s="8" t="s">
        <v>31</v>
      </c>
      <c r="D19" s="6" t="s">
        <v>132</v>
      </c>
      <c r="E19" s="10" t="s">
        <v>210</v>
      </c>
      <c r="F19" s="6">
        <v>312</v>
      </c>
      <c r="G19" s="15" t="s">
        <v>283</v>
      </c>
      <c r="H19" s="6" t="s">
        <v>283</v>
      </c>
      <c r="I19" s="6" t="s">
        <v>365</v>
      </c>
      <c r="J19" s="6" t="s">
        <v>283</v>
      </c>
      <c r="K19" s="28" t="s">
        <v>283</v>
      </c>
      <c r="L19" s="31" t="s">
        <v>283</v>
      </c>
      <c r="M19" s="16" t="s">
        <v>283</v>
      </c>
      <c r="N19" s="16" t="s">
        <v>283</v>
      </c>
      <c r="O19" s="16" t="s">
        <v>283</v>
      </c>
      <c r="P19" s="6" t="s">
        <v>283</v>
      </c>
      <c r="Q19" s="6" t="s">
        <v>283</v>
      </c>
      <c r="R19" s="6" t="s">
        <v>283</v>
      </c>
      <c r="S19" s="6" t="s">
        <v>283</v>
      </c>
      <c r="T19" s="6" t="s">
        <v>283</v>
      </c>
      <c r="U19" s="6" t="s">
        <v>283</v>
      </c>
      <c r="V19" s="6" t="s">
        <v>283</v>
      </c>
      <c r="W19" s="6" t="s">
        <v>283</v>
      </c>
      <c r="X19" s="6" t="s">
        <v>283</v>
      </c>
      <c r="Y19" s="16" t="s">
        <v>283</v>
      </c>
      <c r="Z19" s="16" t="s">
        <v>283</v>
      </c>
      <c r="AA19" s="16" t="s">
        <v>283</v>
      </c>
      <c r="AB19" s="16" t="s">
        <v>283</v>
      </c>
      <c r="AC19" s="6" t="s">
        <v>283</v>
      </c>
      <c r="AD19" s="6" t="s">
        <v>283</v>
      </c>
      <c r="AE19" s="6" t="s">
        <v>283</v>
      </c>
      <c r="AF19" s="6" t="s">
        <v>283</v>
      </c>
      <c r="AG19" s="6" t="s">
        <v>283</v>
      </c>
      <c r="AH19" s="6" t="s">
        <v>283</v>
      </c>
      <c r="AI19" s="6" t="s">
        <v>283</v>
      </c>
      <c r="AJ19" s="21" t="s">
        <v>283</v>
      </c>
    </row>
    <row r="20" spans="2:36" x14ac:dyDescent="0.3">
      <c r="B20" s="6"/>
      <c r="C20" s="8"/>
      <c r="D20" s="6"/>
      <c r="E20" s="10"/>
      <c r="F20" s="6">
        <v>312</v>
      </c>
      <c r="G20" s="15" t="s">
        <v>283</v>
      </c>
      <c r="H20" s="6" t="s">
        <v>283</v>
      </c>
      <c r="I20" s="6" t="s">
        <v>283</v>
      </c>
      <c r="J20" s="6" t="s">
        <v>9</v>
      </c>
      <c r="K20" s="28" t="s">
        <v>283</v>
      </c>
      <c r="L20" s="31" t="s">
        <v>283</v>
      </c>
      <c r="M20" s="16" t="s">
        <v>283</v>
      </c>
      <c r="N20" s="16" t="s">
        <v>283</v>
      </c>
      <c r="O20" s="16" t="s">
        <v>283</v>
      </c>
      <c r="P20" s="6" t="s">
        <v>283</v>
      </c>
      <c r="Q20" s="6" t="s">
        <v>283</v>
      </c>
      <c r="R20" s="6" t="s">
        <v>283</v>
      </c>
      <c r="S20" s="6" t="s">
        <v>283</v>
      </c>
      <c r="T20" s="6" t="s">
        <v>283</v>
      </c>
      <c r="U20" s="6" t="s">
        <v>283</v>
      </c>
      <c r="V20" s="6" t="s">
        <v>283</v>
      </c>
      <c r="W20" s="6" t="s">
        <v>283</v>
      </c>
      <c r="X20" s="6" t="s">
        <v>283</v>
      </c>
      <c r="Y20" s="16" t="s">
        <v>283</v>
      </c>
      <c r="Z20" s="16" t="s">
        <v>283</v>
      </c>
      <c r="AA20" s="16" t="s">
        <v>283</v>
      </c>
      <c r="AB20" s="16" t="s">
        <v>283</v>
      </c>
      <c r="AC20" s="6" t="s">
        <v>283</v>
      </c>
      <c r="AD20" s="6" t="s">
        <v>283</v>
      </c>
      <c r="AE20" s="6" t="s">
        <v>283</v>
      </c>
      <c r="AF20" s="6" t="s">
        <v>283</v>
      </c>
      <c r="AG20" s="6" t="s">
        <v>283</v>
      </c>
      <c r="AH20" s="6" t="s">
        <v>283</v>
      </c>
      <c r="AI20" s="6" t="s">
        <v>283</v>
      </c>
      <c r="AJ20" s="21" t="s">
        <v>283</v>
      </c>
    </row>
    <row r="21" spans="2:36" x14ac:dyDescent="0.3">
      <c r="B21" s="6">
        <v>11</v>
      </c>
      <c r="C21" s="8" t="s">
        <v>32</v>
      </c>
      <c r="D21" s="6" t="s">
        <v>132</v>
      </c>
      <c r="E21" s="10" t="s">
        <v>125</v>
      </c>
      <c r="F21" s="6">
        <v>96</v>
      </c>
      <c r="G21" s="15">
        <f>14+10+3</f>
        <v>27</v>
      </c>
      <c r="H21" s="6">
        <f>25+44</f>
        <v>69</v>
      </c>
      <c r="I21" s="6" t="s">
        <v>365</v>
      </c>
      <c r="J21" s="6" t="s">
        <v>283</v>
      </c>
      <c r="K21" s="28">
        <v>0.89</v>
      </c>
      <c r="L21" s="11"/>
      <c r="M21" s="12"/>
      <c r="N21" s="12"/>
      <c r="O21" s="12"/>
      <c r="P21" s="7">
        <v>92.6</v>
      </c>
      <c r="Q21" s="7">
        <v>82.4</v>
      </c>
      <c r="R21" s="7">
        <v>67.599999999999994</v>
      </c>
      <c r="S21" s="7">
        <v>96.6</v>
      </c>
      <c r="T21" s="7"/>
      <c r="U21" s="7"/>
      <c r="V21" s="7">
        <v>85.3</v>
      </c>
      <c r="W21" s="7">
        <v>0.90200000000000002</v>
      </c>
      <c r="X21" s="7" t="s">
        <v>151</v>
      </c>
      <c r="Y21" s="17">
        <f t="shared" ref="Y21:Y27" si="20">$G21*$P21/100</f>
        <v>25.001999999999999</v>
      </c>
      <c r="Z21" s="17">
        <f t="shared" ref="Z21:Z27" si="21">$H21-$AB21</f>
        <v>12.143999999999998</v>
      </c>
      <c r="AA21" s="17">
        <f t="shared" ref="AA21:AA27" si="22">$G21-$Y21</f>
        <v>1.9980000000000011</v>
      </c>
      <c r="AB21" s="17">
        <f t="shared" ref="AB21:AB27" si="23">H21*Q21/100</f>
        <v>56.856000000000002</v>
      </c>
      <c r="AC21" s="7">
        <f t="shared" si="0"/>
        <v>0.92599999999999993</v>
      </c>
      <c r="AD21" s="7">
        <f t="shared" si="1"/>
        <v>0.82400000000000007</v>
      </c>
      <c r="AE21" s="7">
        <f t="shared" ref="AE21:AE26" si="24">$Y21/(Y21+$Z21)</f>
        <v>0.67307381683088352</v>
      </c>
      <c r="AF21" s="7">
        <f t="shared" si="3"/>
        <v>0.96605158527882562</v>
      </c>
      <c r="AG21" s="7">
        <f t="shared" si="4"/>
        <v>5.2613636363636376</v>
      </c>
      <c r="AH21" s="7">
        <f t="shared" si="5"/>
        <v>8.9805825242718518E-2</v>
      </c>
      <c r="AI21" s="7">
        <f t="shared" ref="AI21:AI26" si="25">(Y21+AB21)/(Y21+Z21+AA21+AB21)</f>
        <v>0.85268750000000004</v>
      </c>
      <c r="AJ21" s="20">
        <f t="shared" si="7"/>
        <v>58.585995085995066</v>
      </c>
    </row>
    <row r="22" spans="2:36" x14ac:dyDescent="0.3">
      <c r="B22" s="6"/>
      <c r="C22" s="8"/>
      <c r="D22" s="6"/>
      <c r="E22" s="10"/>
      <c r="F22" s="6">
        <v>96</v>
      </c>
      <c r="G22" s="15">
        <f>14+10+3</f>
        <v>27</v>
      </c>
      <c r="H22" s="6">
        <f>25+44</f>
        <v>69</v>
      </c>
      <c r="I22" s="6" t="s">
        <v>283</v>
      </c>
      <c r="J22" s="6" t="s">
        <v>135</v>
      </c>
      <c r="K22" s="28">
        <v>9.25</v>
      </c>
      <c r="L22" s="11"/>
      <c r="M22" s="12"/>
      <c r="N22" s="12"/>
      <c r="O22" s="12"/>
      <c r="P22" s="7">
        <v>77.8</v>
      </c>
      <c r="Q22" s="7">
        <v>73.900000000000006</v>
      </c>
      <c r="R22" s="7">
        <v>53.8</v>
      </c>
      <c r="S22" s="7">
        <v>89.5</v>
      </c>
      <c r="T22" s="7"/>
      <c r="U22" s="7"/>
      <c r="V22" s="7">
        <v>75</v>
      </c>
      <c r="W22" s="7">
        <v>0.81599999999999995</v>
      </c>
      <c r="X22" s="7" t="s">
        <v>230</v>
      </c>
      <c r="Y22" s="17">
        <f t="shared" si="20"/>
        <v>21.006</v>
      </c>
      <c r="Z22" s="17">
        <f t="shared" si="21"/>
        <v>18.008999999999993</v>
      </c>
      <c r="AA22" s="17">
        <f t="shared" si="22"/>
        <v>5.9939999999999998</v>
      </c>
      <c r="AB22" s="17">
        <f t="shared" si="23"/>
        <v>50.991000000000007</v>
      </c>
      <c r="AC22" s="7">
        <f t="shared" si="0"/>
        <v>0.77800000000000002</v>
      </c>
      <c r="AD22" s="7">
        <f t="shared" si="1"/>
        <v>0.7390000000000001</v>
      </c>
      <c r="AE22" s="7">
        <f t="shared" ref="AE22" si="26">$Y22/(Y22+$Z22)</f>
        <v>0.53840830449827004</v>
      </c>
      <c r="AF22" s="7">
        <f t="shared" si="3"/>
        <v>0.89481442484864437</v>
      </c>
      <c r="AG22" s="7">
        <f t="shared" si="4"/>
        <v>2.9808429118773958</v>
      </c>
      <c r="AH22" s="7">
        <f t="shared" si="5"/>
        <v>0.30040595399188086</v>
      </c>
      <c r="AI22" s="7">
        <f t="shared" ref="AI22" si="27">(Y22+AB22)/(Y22+Z22+AA22+AB22)</f>
        <v>0.74996875000000018</v>
      </c>
      <c r="AJ22" s="20">
        <f t="shared" si="7"/>
        <v>9.9227158192675482</v>
      </c>
    </row>
    <row r="23" spans="2:36" x14ac:dyDescent="0.3">
      <c r="B23" s="6">
        <v>12</v>
      </c>
      <c r="C23" s="8" t="s">
        <v>218</v>
      </c>
      <c r="D23" s="6" t="s">
        <v>131</v>
      </c>
      <c r="E23" s="42" t="s">
        <v>410</v>
      </c>
      <c r="F23" s="6">
        <v>108</v>
      </c>
      <c r="G23" s="15">
        <v>92</v>
      </c>
      <c r="H23" s="6">
        <v>16</v>
      </c>
      <c r="I23" s="6" t="s">
        <v>365</v>
      </c>
      <c r="J23" s="6" t="s">
        <v>283</v>
      </c>
      <c r="K23" s="28">
        <v>1.63</v>
      </c>
      <c r="L23" s="11"/>
      <c r="M23" s="12"/>
      <c r="N23" s="12"/>
      <c r="O23" s="12"/>
      <c r="P23" s="7">
        <v>74</v>
      </c>
      <c r="Q23" s="7">
        <v>71</v>
      </c>
      <c r="R23" s="7">
        <v>96</v>
      </c>
      <c r="S23" s="7">
        <v>76</v>
      </c>
      <c r="T23" s="7"/>
      <c r="U23" s="7"/>
      <c r="V23" s="7"/>
      <c r="W23" s="7">
        <v>0.81</v>
      </c>
      <c r="X23" s="7"/>
      <c r="Y23" s="17">
        <f t="shared" si="20"/>
        <v>68.08</v>
      </c>
      <c r="Z23" s="17">
        <f t="shared" si="21"/>
        <v>4.6400000000000006</v>
      </c>
      <c r="AA23" s="17">
        <f t="shared" si="22"/>
        <v>23.92</v>
      </c>
      <c r="AB23" s="17">
        <f t="shared" si="23"/>
        <v>11.36</v>
      </c>
      <c r="AC23" s="7">
        <f t="shared" si="0"/>
        <v>0.74</v>
      </c>
      <c r="AD23" s="7">
        <f t="shared" si="1"/>
        <v>0.71</v>
      </c>
      <c r="AE23" s="7">
        <f t="shared" si="24"/>
        <v>0.93619361936193624</v>
      </c>
      <c r="AF23" s="7">
        <f t="shared" si="3"/>
        <v>0.32199546485260766</v>
      </c>
      <c r="AG23" s="7">
        <f t="shared" si="4"/>
        <v>2.5517241379310343</v>
      </c>
      <c r="AH23" s="7">
        <f t="shared" si="5"/>
        <v>0.36619718309859156</v>
      </c>
      <c r="AI23" s="7">
        <f t="shared" si="25"/>
        <v>0.73555555555555552</v>
      </c>
      <c r="AJ23" s="20">
        <f t="shared" si="7"/>
        <v>6.9681697612732076</v>
      </c>
    </row>
    <row r="24" spans="2:36" x14ac:dyDescent="0.3">
      <c r="B24" s="6"/>
      <c r="C24" s="8"/>
      <c r="D24" s="6"/>
      <c r="E24" s="10"/>
      <c r="F24" s="6">
        <v>108</v>
      </c>
      <c r="G24" s="15">
        <v>92</v>
      </c>
      <c r="H24" s="6">
        <v>16</v>
      </c>
      <c r="I24" s="6" t="s">
        <v>283</v>
      </c>
      <c r="J24" s="6" t="s">
        <v>9</v>
      </c>
      <c r="K24" s="28" t="s">
        <v>372</v>
      </c>
      <c r="L24" s="11"/>
      <c r="M24" s="12"/>
      <c r="N24" s="12"/>
      <c r="O24" s="12"/>
      <c r="P24" s="7">
        <v>95</v>
      </c>
      <c r="Q24" s="7">
        <v>86</v>
      </c>
      <c r="R24" s="7">
        <v>90</v>
      </c>
      <c r="S24" s="7">
        <v>73</v>
      </c>
      <c r="T24" s="7"/>
      <c r="U24" s="7"/>
      <c r="V24" s="7"/>
      <c r="W24" s="7">
        <v>0.95</v>
      </c>
      <c r="X24" s="7"/>
      <c r="Y24" s="17">
        <f t="shared" si="20"/>
        <v>87.4</v>
      </c>
      <c r="Z24" s="17">
        <f t="shared" si="21"/>
        <v>2.2400000000000002</v>
      </c>
      <c r="AA24" s="17">
        <f t="shared" si="22"/>
        <v>4.5999999999999943</v>
      </c>
      <c r="AB24" s="17">
        <f t="shared" si="23"/>
        <v>13.76</v>
      </c>
      <c r="AC24" s="7">
        <f t="shared" si="0"/>
        <v>0.95000000000000007</v>
      </c>
      <c r="AD24" s="7">
        <f t="shared" si="1"/>
        <v>0.86</v>
      </c>
      <c r="AE24" s="7">
        <f t="shared" ref="AE24" si="28">$Y24/(Y24+$Z24)</f>
        <v>0.9750111557340474</v>
      </c>
      <c r="AF24" s="7">
        <f t="shared" si="3"/>
        <v>0.74945533769063211</v>
      </c>
      <c r="AG24" s="7">
        <f t="shared" si="4"/>
        <v>6.7857142857142856</v>
      </c>
      <c r="AH24" s="7">
        <f t="shared" si="5"/>
        <v>5.8139534883720853E-2</v>
      </c>
      <c r="AI24" s="7">
        <f t="shared" ref="AI24" si="29">(Y24+AB24)/(Y24+Z24+AA24+AB24)</f>
        <v>0.93666666666666676</v>
      </c>
      <c r="AJ24" s="20">
        <f t="shared" si="7"/>
        <v>116.71428571428585</v>
      </c>
    </row>
    <row r="25" spans="2:36" x14ac:dyDescent="0.3">
      <c r="B25" s="6"/>
      <c r="C25" s="8"/>
      <c r="D25" s="6"/>
      <c r="E25" s="10"/>
      <c r="F25" s="6">
        <v>108</v>
      </c>
      <c r="G25" s="15">
        <v>92</v>
      </c>
      <c r="H25" s="6">
        <v>16</v>
      </c>
      <c r="I25" s="6" t="s">
        <v>283</v>
      </c>
      <c r="J25" s="6" t="s">
        <v>266</v>
      </c>
      <c r="K25" s="28" t="s">
        <v>373</v>
      </c>
      <c r="L25" s="11"/>
      <c r="M25" s="12"/>
      <c r="N25" s="12"/>
      <c r="O25" s="12"/>
      <c r="P25" s="7">
        <v>87</v>
      </c>
      <c r="Q25" s="7">
        <v>86</v>
      </c>
      <c r="R25" s="7">
        <v>95</v>
      </c>
      <c r="S25" s="7">
        <v>54</v>
      </c>
      <c r="T25" s="7"/>
      <c r="U25" s="7"/>
      <c r="V25" s="7"/>
      <c r="W25" s="7">
        <v>0.93</v>
      </c>
      <c r="X25" s="7"/>
      <c r="Y25" s="17">
        <f t="shared" si="20"/>
        <v>80.040000000000006</v>
      </c>
      <c r="Z25" s="17">
        <f t="shared" si="21"/>
        <v>2.2400000000000002</v>
      </c>
      <c r="AA25" s="17">
        <f t="shared" si="22"/>
        <v>11.959999999999994</v>
      </c>
      <c r="AB25" s="17">
        <f t="shared" si="23"/>
        <v>13.76</v>
      </c>
      <c r="AC25" s="7">
        <f t="shared" si="0"/>
        <v>0.87000000000000011</v>
      </c>
      <c r="AD25" s="7">
        <f t="shared" si="1"/>
        <v>0.86</v>
      </c>
      <c r="AE25" s="7">
        <f t="shared" ref="AE25" si="30">$Y25/(Y25+$Z25)</f>
        <v>0.9727758872143899</v>
      </c>
      <c r="AF25" s="7">
        <f t="shared" si="3"/>
        <v>0.53499222395023349</v>
      </c>
      <c r="AG25" s="7">
        <f t="shared" si="4"/>
        <v>6.2142857142857144</v>
      </c>
      <c r="AH25" s="7">
        <f t="shared" si="5"/>
        <v>0.1511627906976743</v>
      </c>
      <c r="AI25" s="7">
        <f t="shared" ref="AI25" si="31">(Y25+AB25)/(Y25+Z25+AA25+AB25)</f>
        <v>0.86851851851851858</v>
      </c>
      <c r="AJ25" s="20">
        <f t="shared" si="7"/>
        <v>41.109890109890131</v>
      </c>
    </row>
    <row r="26" spans="2:36" x14ac:dyDescent="0.3">
      <c r="B26" s="6">
        <v>13</v>
      </c>
      <c r="C26" s="8" t="s">
        <v>37</v>
      </c>
      <c r="D26" s="6" t="s">
        <v>131</v>
      </c>
      <c r="E26" s="10" t="s">
        <v>211</v>
      </c>
      <c r="F26" s="6">
        <v>238</v>
      </c>
      <c r="G26" s="15">
        <f>60+55+84</f>
        <v>199</v>
      </c>
      <c r="H26" s="6">
        <f>7+32</f>
        <v>39</v>
      </c>
      <c r="I26" s="6" t="s">
        <v>365</v>
      </c>
      <c r="J26" s="6" t="s">
        <v>283</v>
      </c>
      <c r="K26" s="28">
        <v>1.1100000000000001</v>
      </c>
      <c r="L26" s="11"/>
      <c r="M26" s="12"/>
      <c r="N26" s="12"/>
      <c r="O26" s="12"/>
      <c r="P26" s="7">
        <v>60.3</v>
      </c>
      <c r="Q26" s="7">
        <v>64.099999999999994</v>
      </c>
      <c r="R26" s="7"/>
      <c r="S26" s="7"/>
      <c r="T26" s="7"/>
      <c r="U26" s="7"/>
      <c r="V26" s="7"/>
      <c r="W26" s="7">
        <v>0.57899999999999996</v>
      </c>
      <c r="X26" s="7" t="s">
        <v>152</v>
      </c>
      <c r="Y26" s="17">
        <f t="shared" si="20"/>
        <v>119.99699999999999</v>
      </c>
      <c r="Z26" s="17">
        <f t="shared" si="21"/>
        <v>14.001000000000005</v>
      </c>
      <c r="AA26" s="17">
        <f t="shared" si="22"/>
        <v>79.003000000000014</v>
      </c>
      <c r="AB26" s="17">
        <f t="shared" si="23"/>
        <v>24.998999999999995</v>
      </c>
      <c r="AC26" s="7">
        <f t="shared" si="0"/>
        <v>0.60299999999999998</v>
      </c>
      <c r="AD26" s="7">
        <f t="shared" si="1"/>
        <v>0.6409999999999999</v>
      </c>
      <c r="AE26" s="7">
        <f t="shared" si="24"/>
        <v>0.89551336587113239</v>
      </c>
      <c r="AF26" s="7">
        <f t="shared" si="3"/>
        <v>0.24037037749274046</v>
      </c>
      <c r="AG26" s="7">
        <f t="shared" si="4"/>
        <v>1.6796657381615594</v>
      </c>
      <c r="AH26" s="7">
        <f t="shared" si="5"/>
        <v>0.61934477379095176</v>
      </c>
      <c r="AI26" s="7">
        <f t="shared" si="25"/>
        <v>0.60922689075630243</v>
      </c>
      <c r="AJ26" s="20">
        <f t="shared" si="7"/>
        <v>2.7120043782407026</v>
      </c>
    </row>
    <row r="27" spans="2:36" x14ac:dyDescent="0.3">
      <c r="B27" s="6"/>
      <c r="C27" s="8"/>
      <c r="D27" s="6"/>
      <c r="E27" s="10"/>
      <c r="F27" s="6">
        <v>238</v>
      </c>
      <c r="G27" s="15">
        <f>60+55+84</f>
        <v>199</v>
      </c>
      <c r="H27" s="6">
        <f>7+32</f>
        <v>39</v>
      </c>
      <c r="I27" s="6" t="s">
        <v>283</v>
      </c>
      <c r="J27" s="6" t="s">
        <v>29</v>
      </c>
      <c r="K27" s="28" t="s">
        <v>374</v>
      </c>
      <c r="L27" s="11"/>
      <c r="M27" s="12"/>
      <c r="N27" s="12"/>
      <c r="O27" s="12"/>
      <c r="P27" s="7">
        <v>77.39</v>
      </c>
      <c r="Q27" s="7">
        <v>89.74</v>
      </c>
      <c r="R27" s="7"/>
      <c r="S27" s="7"/>
      <c r="T27" s="7"/>
      <c r="U27" s="7"/>
      <c r="V27" s="7"/>
      <c r="W27" s="7">
        <v>0.89800000000000002</v>
      </c>
      <c r="X27" s="7" t="s">
        <v>231</v>
      </c>
      <c r="Y27" s="17">
        <f t="shared" si="20"/>
        <v>154.0061</v>
      </c>
      <c r="Z27" s="17">
        <f t="shared" si="21"/>
        <v>4.0014000000000038</v>
      </c>
      <c r="AA27" s="17">
        <f t="shared" si="22"/>
        <v>44.993899999999996</v>
      </c>
      <c r="AB27" s="17">
        <f t="shared" si="23"/>
        <v>34.998599999999996</v>
      </c>
      <c r="AC27" s="7">
        <f t="shared" si="0"/>
        <v>0.77390000000000003</v>
      </c>
      <c r="AD27" s="7">
        <f t="shared" si="1"/>
        <v>0.89739999999999986</v>
      </c>
      <c r="AE27" s="7">
        <f t="shared" ref="AE27" si="32">$Y27/(Y27+$Z27)</f>
        <v>0.97467588563834007</v>
      </c>
      <c r="AF27" s="7">
        <f t="shared" si="3"/>
        <v>0.43752351782979654</v>
      </c>
      <c r="AG27" s="7">
        <f t="shared" si="4"/>
        <v>7.5428849902534019</v>
      </c>
      <c r="AH27" s="7">
        <f t="shared" si="5"/>
        <v>0.25195007800312014</v>
      </c>
      <c r="AI27" s="7">
        <f t="shared" ref="AI27" si="33">(Y27+AB27)/(Y27+Z27+AA27+AB27)</f>
        <v>0.7941373949579833</v>
      </c>
      <c r="AJ27" s="20">
        <f t="shared" si="7"/>
        <v>29.938014109922179</v>
      </c>
    </row>
    <row r="28" spans="2:36" x14ac:dyDescent="0.3">
      <c r="B28" s="6"/>
      <c r="C28" s="8"/>
      <c r="D28" s="6" t="s">
        <v>132</v>
      </c>
      <c r="E28" s="10" t="s">
        <v>125</v>
      </c>
      <c r="F28" s="6">
        <v>135</v>
      </c>
      <c r="G28" s="47" t="s">
        <v>208</v>
      </c>
      <c r="H28" s="47" t="s">
        <v>208</v>
      </c>
      <c r="I28" s="6" t="s">
        <v>365</v>
      </c>
      <c r="J28" s="6" t="s">
        <v>283</v>
      </c>
      <c r="K28" s="28">
        <v>1.1100000000000001</v>
      </c>
      <c r="L28" s="11"/>
      <c r="M28" s="12"/>
      <c r="N28" s="12"/>
      <c r="O28" s="12"/>
      <c r="P28" s="7">
        <v>52.54</v>
      </c>
      <c r="Q28" s="7">
        <v>76.47</v>
      </c>
      <c r="R28" s="7"/>
      <c r="S28" s="7"/>
      <c r="T28" s="7"/>
      <c r="U28" s="7"/>
      <c r="V28" s="7"/>
      <c r="W28" s="7">
        <v>0.56599999999999995</v>
      </c>
      <c r="X28" s="35" t="s">
        <v>193</v>
      </c>
      <c r="Y28" s="16"/>
      <c r="Z28" s="16"/>
      <c r="AA28" s="16"/>
      <c r="AB28" s="16"/>
      <c r="AC28" s="6"/>
      <c r="AD28" s="6"/>
      <c r="AE28" s="6"/>
      <c r="AF28" s="6"/>
      <c r="AG28" s="6"/>
      <c r="AH28" s="6"/>
      <c r="AI28" s="6"/>
      <c r="AJ28" s="6"/>
    </row>
    <row r="29" spans="2:36" x14ac:dyDescent="0.3">
      <c r="B29" s="6"/>
      <c r="C29" s="8"/>
      <c r="D29" s="6"/>
      <c r="E29" s="10"/>
      <c r="F29" s="6">
        <v>135</v>
      </c>
      <c r="G29" s="47" t="s">
        <v>208</v>
      </c>
      <c r="H29" s="47" t="s">
        <v>208</v>
      </c>
      <c r="I29" s="6" t="s">
        <v>283</v>
      </c>
      <c r="J29" s="6" t="s">
        <v>29</v>
      </c>
      <c r="K29" s="28" t="s">
        <v>375</v>
      </c>
      <c r="L29" s="11"/>
      <c r="M29" s="12"/>
      <c r="N29" s="12"/>
      <c r="O29" s="12"/>
      <c r="P29" s="7">
        <v>93.22</v>
      </c>
      <c r="Q29" s="7">
        <v>76.47</v>
      </c>
      <c r="R29" s="7"/>
      <c r="S29" s="7"/>
      <c r="T29" s="7"/>
      <c r="U29" s="7"/>
      <c r="V29" s="7"/>
      <c r="W29" s="7">
        <v>0.879</v>
      </c>
      <c r="X29" s="35" t="s">
        <v>259</v>
      </c>
      <c r="Y29" s="16"/>
      <c r="Z29" s="16"/>
      <c r="AA29" s="16"/>
      <c r="AB29" s="16"/>
      <c r="AC29" s="6"/>
      <c r="AD29" s="6"/>
      <c r="AE29" s="6"/>
      <c r="AF29" s="6"/>
      <c r="AG29" s="6"/>
      <c r="AH29" s="6"/>
      <c r="AI29" s="6"/>
      <c r="AJ29" s="6"/>
    </row>
    <row r="30" spans="2:36" x14ac:dyDescent="0.3">
      <c r="B30" s="6"/>
      <c r="C30" s="8"/>
      <c r="D30" s="6" t="s">
        <v>130</v>
      </c>
      <c r="E30" s="10" t="s">
        <v>120</v>
      </c>
      <c r="F30" s="6">
        <v>75</v>
      </c>
      <c r="G30" s="47" t="s">
        <v>208</v>
      </c>
      <c r="H30" s="47" t="s">
        <v>208</v>
      </c>
      <c r="I30" s="6" t="s">
        <v>365</v>
      </c>
      <c r="J30" s="6" t="s">
        <v>283</v>
      </c>
      <c r="K30" s="28">
        <v>2.21</v>
      </c>
      <c r="L30" s="11"/>
      <c r="M30" s="12"/>
      <c r="N30" s="12"/>
      <c r="O30" s="12"/>
      <c r="P30" s="7">
        <v>46.15</v>
      </c>
      <c r="Q30" s="7">
        <v>90</v>
      </c>
      <c r="R30" s="7"/>
      <c r="S30" s="7"/>
      <c r="T30" s="7"/>
      <c r="U30" s="7"/>
      <c r="V30" s="7"/>
      <c r="W30" s="7">
        <v>0.622</v>
      </c>
      <c r="X30" s="35" t="s">
        <v>194</v>
      </c>
      <c r="Y30" s="16"/>
      <c r="Z30" s="16"/>
      <c r="AA30" s="16"/>
      <c r="AB30" s="16"/>
      <c r="AC30" s="6"/>
      <c r="AD30" s="6"/>
      <c r="AE30" s="6"/>
      <c r="AF30" s="6"/>
      <c r="AG30" s="6"/>
      <c r="AH30" s="6"/>
      <c r="AI30" s="6"/>
      <c r="AJ30" s="6"/>
    </row>
    <row r="31" spans="2:36" x14ac:dyDescent="0.3">
      <c r="B31" s="6"/>
      <c r="C31" s="8"/>
      <c r="D31" s="6"/>
      <c r="E31" s="10"/>
      <c r="F31" s="6">
        <v>75</v>
      </c>
      <c r="G31" s="47" t="s">
        <v>208</v>
      </c>
      <c r="H31" s="47" t="s">
        <v>208</v>
      </c>
      <c r="I31" s="6" t="s">
        <v>283</v>
      </c>
      <c r="J31" s="6" t="s">
        <v>29</v>
      </c>
      <c r="K31" s="28" t="s">
        <v>376</v>
      </c>
      <c r="L31" s="11"/>
      <c r="M31" s="12"/>
      <c r="N31" s="12"/>
      <c r="O31" s="12"/>
      <c r="P31" s="7">
        <v>72.31</v>
      </c>
      <c r="Q31" s="7">
        <v>100</v>
      </c>
      <c r="R31" s="7"/>
      <c r="S31" s="7"/>
      <c r="T31" s="7"/>
      <c r="U31" s="7"/>
      <c r="V31" s="7"/>
      <c r="W31" s="7">
        <v>0.91200000000000003</v>
      </c>
      <c r="X31" s="35" t="s">
        <v>260</v>
      </c>
      <c r="Y31" s="16"/>
      <c r="Z31" s="16"/>
      <c r="AA31" s="16"/>
      <c r="AB31" s="16"/>
      <c r="AC31" s="6"/>
      <c r="AD31" s="6"/>
      <c r="AE31" s="6"/>
      <c r="AF31" s="6"/>
      <c r="AG31" s="6"/>
      <c r="AH31" s="6"/>
      <c r="AI31" s="6"/>
      <c r="AJ31" s="6"/>
    </row>
    <row r="32" spans="2:36" x14ac:dyDescent="0.3">
      <c r="B32" s="6">
        <v>14</v>
      </c>
      <c r="C32" s="8" t="s">
        <v>219</v>
      </c>
      <c r="D32" s="6" t="s">
        <v>131</v>
      </c>
      <c r="E32" s="10" t="s">
        <v>190</v>
      </c>
      <c r="F32" s="6">
        <v>70</v>
      </c>
      <c r="G32" s="41">
        <f>17+11+25</f>
        <v>53</v>
      </c>
      <c r="H32" s="41">
        <f>4+13</f>
        <v>17</v>
      </c>
      <c r="I32" s="6" t="s">
        <v>365</v>
      </c>
      <c r="J32" s="6" t="s">
        <v>283</v>
      </c>
      <c r="K32" s="37" t="s">
        <v>208</v>
      </c>
      <c r="L32" s="31"/>
      <c r="M32" s="16"/>
      <c r="N32" s="16"/>
      <c r="O32" s="16"/>
      <c r="P32" s="6">
        <v>73.58</v>
      </c>
      <c r="Q32" s="6">
        <v>52.94</v>
      </c>
      <c r="R32" s="6"/>
      <c r="S32" s="6"/>
      <c r="T32" s="6"/>
      <c r="U32" s="6"/>
      <c r="V32" s="6"/>
      <c r="W32" s="6">
        <v>0.6</v>
      </c>
      <c r="X32" s="35" t="s">
        <v>154</v>
      </c>
      <c r="Y32" s="16"/>
      <c r="Z32" s="16"/>
      <c r="AA32" s="16"/>
      <c r="AB32" s="16"/>
      <c r="AC32" s="6"/>
      <c r="AD32" s="6"/>
      <c r="AE32" s="6"/>
      <c r="AF32" s="6"/>
      <c r="AG32" s="6"/>
      <c r="AH32" s="6"/>
      <c r="AI32" s="6"/>
      <c r="AJ32" s="21"/>
    </row>
    <row r="33" spans="2:36" x14ac:dyDescent="0.3">
      <c r="B33" s="6"/>
      <c r="C33" s="8"/>
      <c r="D33" s="6"/>
      <c r="E33" s="10"/>
      <c r="F33" s="6">
        <v>70</v>
      </c>
      <c r="G33" s="41">
        <f>17+11+25</f>
        <v>53</v>
      </c>
      <c r="H33" s="41">
        <f>4+13</f>
        <v>17</v>
      </c>
      <c r="I33" s="6" t="s">
        <v>283</v>
      </c>
      <c r="J33" s="6" t="s">
        <v>136</v>
      </c>
      <c r="K33" s="37" t="s">
        <v>208</v>
      </c>
      <c r="L33" s="31"/>
      <c r="M33" s="16"/>
      <c r="N33" s="16"/>
      <c r="O33" s="16"/>
      <c r="P33" s="6">
        <v>73.58</v>
      </c>
      <c r="Q33" s="6">
        <v>76.47</v>
      </c>
      <c r="R33" s="6"/>
      <c r="S33" s="6"/>
      <c r="T33" s="6"/>
      <c r="U33" s="6"/>
      <c r="V33" s="6"/>
      <c r="W33" s="6">
        <v>0.76</v>
      </c>
      <c r="X33" s="35" t="s">
        <v>234</v>
      </c>
      <c r="Y33" s="16"/>
      <c r="Z33" s="16"/>
      <c r="AA33" s="16"/>
      <c r="AB33" s="16"/>
      <c r="AC33" s="6"/>
      <c r="AD33" s="6"/>
      <c r="AE33" s="6"/>
      <c r="AF33" s="6"/>
      <c r="AG33" s="6"/>
      <c r="AH33" s="6"/>
      <c r="AI33" s="6"/>
      <c r="AJ33" s="21"/>
    </row>
    <row r="34" spans="2:36" x14ac:dyDescent="0.3">
      <c r="B34" s="6"/>
      <c r="C34" s="8"/>
      <c r="D34" s="6" t="s">
        <v>132</v>
      </c>
      <c r="E34" s="10" t="s">
        <v>125</v>
      </c>
      <c r="F34" s="6">
        <v>33</v>
      </c>
      <c r="G34" s="47" t="s">
        <v>208</v>
      </c>
      <c r="H34" s="47" t="s">
        <v>208</v>
      </c>
      <c r="I34" s="6" t="s">
        <v>365</v>
      </c>
      <c r="J34" s="6" t="s">
        <v>283</v>
      </c>
      <c r="K34" s="37" t="s">
        <v>208</v>
      </c>
      <c r="L34" s="31"/>
      <c r="M34" s="16"/>
      <c r="N34" s="16"/>
      <c r="O34" s="16"/>
      <c r="P34" s="6">
        <v>85.19</v>
      </c>
      <c r="Q34" s="6">
        <v>50</v>
      </c>
      <c r="R34" s="6"/>
      <c r="S34" s="6"/>
      <c r="T34" s="6"/>
      <c r="U34" s="6"/>
      <c r="V34" s="6"/>
      <c r="W34" s="6">
        <v>0.57999999999999996</v>
      </c>
      <c r="X34" s="35" t="s">
        <v>199</v>
      </c>
      <c r="Y34" s="16"/>
      <c r="Z34" s="16"/>
      <c r="AA34" s="16"/>
      <c r="AB34" s="16"/>
      <c r="AC34" s="6"/>
      <c r="AD34" s="6"/>
      <c r="AE34" s="6"/>
      <c r="AF34" s="6"/>
      <c r="AG34" s="6"/>
      <c r="AH34" s="6"/>
      <c r="AI34" s="6"/>
      <c r="AJ34" s="21"/>
    </row>
    <row r="35" spans="2:36" x14ac:dyDescent="0.3">
      <c r="B35" s="6"/>
      <c r="C35" s="8"/>
      <c r="D35" s="6"/>
      <c r="E35" s="10"/>
      <c r="F35" s="6">
        <v>33</v>
      </c>
      <c r="G35" s="47" t="s">
        <v>208</v>
      </c>
      <c r="H35" s="47" t="s">
        <v>208</v>
      </c>
      <c r="I35" s="6" t="s">
        <v>283</v>
      </c>
      <c r="J35" s="6" t="s">
        <v>136</v>
      </c>
      <c r="K35" s="37" t="s">
        <v>208</v>
      </c>
      <c r="L35" s="31"/>
      <c r="M35" s="16"/>
      <c r="N35" s="16"/>
      <c r="O35" s="16"/>
      <c r="P35" s="6">
        <v>85.19</v>
      </c>
      <c r="Q35" s="6">
        <v>66.67</v>
      </c>
      <c r="R35" s="6"/>
      <c r="S35" s="6"/>
      <c r="T35" s="6"/>
      <c r="U35" s="6"/>
      <c r="V35" s="6"/>
      <c r="W35" s="6">
        <v>0.747</v>
      </c>
      <c r="X35" s="35" t="s">
        <v>236</v>
      </c>
      <c r="Y35" s="16"/>
      <c r="Z35" s="16"/>
      <c r="AA35" s="16"/>
      <c r="AB35" s="16"/>
      <c r="AC35" s="6"/>
      <c r="AD35" s="6"/>
      <c r="AE35" s="6"/>
      <c r="AF35" s="6"/>
      <c r="AG35" s="6"/>
      <c r="AH35" s="6"/>
      <c r="AI35" s="6"/>
      <c r="AJ35" s="21"/>
    </row>
    <row r="36" spans="2:36" x14ac:dyDescent="0.3">
      <c r="B36" s="6"/>
      <c r="C36" s="8"/>
      <c r="D36" s="6" t="s">
        <v>130</v>
      </c>
      <c r="E36" s="10" t="s">
        <v>120</v>
      </c>
      <c r="F36" s="6" t="s">
        <v>281</v>
      </c>
      <c r="G36" s="47" t="s">
        <v>208</v>
      </c>
      <c r="H36" s="47" t="s">
        <v>208</v>
      </c>
      <c r="I36" s="6" t="s">
        <v>365</v>
      </c>
      <c r="J36" s="6" t="s">
        <v>283</v>
      </c>
      <c r="K36" s="37" t="s">
        <v>208</v>
      </c>
      <c r="L36" s="31"/>
      <c r="M36" s="16"/>
      <c r="N36" s="16"/>
      <c r="O36" s="16"/>
      <c r="P36" s="6">
        <v>56.52</v>
      </c>
      <c r="Q36" s="6">
        <v>100</v>
      </c>
      <c r="R36" s="6"/>
      <c r="S36" s="6"/>
      <c r="T36" s="6"/>
      <c r="U36" s="6"/>
      <c r="V36" s="6"/>
      <c r="W36" s="6">
        <v>0.82199999999999995</v>
      </c>
      <c r="X36" s="35" t="s">
        <v>200</v>
      </c>
      <c r="Y36" s="16"/>
      <c r="Z36" s="16"/>
      <c r="AA36" s="16"/>
      <c r="AB36" s="16"/>
      <c r="AC36" s="6"/>
      <c r="AD36" s="6"/>
      <c r="AE36" s="6"/>
      <c r="AF36" s="6"/>
      <c r="AG36" s="6"/>
      <c r="AH36" s="6"/>
      <c r="AI36" s="6"/>
      <c r="AJ36" s="21"/>
    </row>
    <row r="37" spans="2:36" x14ac:dyDescent="0.3">
      <c r="B37" s="6"/>
      <c r="C37" s="8"/>
      <c r="D37" s="6"/>
      <c r="E37" s="10"/>
      <c r="F37" s="6" t="s">
        <v>281</v>
      </c>
      <c r="G37" s="47" t="s">
        <v>208</v>
      </c>
      <c r="H37" s="47" t="s">
        <v>208</v>
      </c>
      <c r="I37" s="6" t="s">
        <v>283</v>
      </c>
      <c r="J37" s="6" t="s">
        <v>136</v>
      </c>
      <c r="K37" s="37" t="s">
        <v>208</v>
      </c>
      <c r="L37" s="31"/>
      <c r="M37" s="16"/>
      <c r="N37" s="16"/>
      <c r="O37" s="16"/>
      <c r="P37" s="6">
        <v>95.65</v>
      </c>
      <c r="Q37" s="6">
        <v>60</v>
      </c>
      <c r="R37" s="6"/>
      <c r="S37" s="6"/>
      <c r="T37" s="6"/>
      <c r="U37" s="6"/>
      <c r="V37" s="6"/>
      <c r="W37" s="6">
        <v>0.8</v>
      </c>
      <c r="X37" s="35" t="s">
        <v>237</v>
      </c>
      <c r="Y37" s="16"/>
      <c r="Z37" s="16"/>
      <c r="AA37" s="16"/>
      <c r="AB37" s="16"/>
      <c r="AC37" s="6"/>
      <c r="AD37" s="6"/>
      <c r="AE37" s="6"/>
      <c r="AF37" s="6"/>
      <c r="AG37" s="6"/>
      <c r="AH37" s="6"/>
      <c r="AI37" s="6"/>
      <c r="AJ37" s="21"/>
    </row>
    <row r="38" spans="2:36" x14ac:dyDescent="0.3">
      <c r="B38" s="6">
        <v>15</v>
      </c>
      <c r="C38" s="8" t="s">
        <v>40</v>
      </c>
      <c r="D38" s="6" t="s">
        <v>131</v>
      </c>
      <c r="E38" s="10" t="s">
        <v>126</v>
      </c>
      <c r="F38" s="6">
        <v>53</v>
      </c>
      <c r="G38" s="41" t="s">
        <v>283</v>
      </c>
      <c r="H38" s="41" t="s">
        <v>283</v>
      </c>
      <c r="I38" s="6" t="s">
        <v>365</v>
      </c>
      <c r="J38" s="6" t="s">
        <v>283</v>
      </c>
      <c r="K38" s="28" t="s">
        <v>283</v>
      </c>
      <c r="L38" s="31" t="s">
        <v>283</v>
      </c>
      <c r="M38" s="31" t="s">
        <v>283</v>
      </c>
      <c r="N38" s="31" t="s">
        <v>283</v>
      </c>
      <c r="O38" s="31" t="s">
        <v>283</v>
      </c>
      <c r="P38" s="6" t="s">
        <v>283</v>
      </c>
      <c r="Q38" s="6" t="s">
        <v>283</v>
      </c>
      <c r="R38" s="6" t="s">
        <v>283</v>
      </c>
      <c r="S38" s="6" t="s">
        <v>283</v>
      </c>
      <c r="T38" s="6" t="s">
        <v>283</v>
      </c>
      <c r="U38" s="6" t="s">
        <v>283</v>
      </c>
      <c r="V38" s="6" t="s">
        <v>283</v>
      </c>
      <c r="W38" s="6" t="s">
        <v>283</v>
      </c>
      <c r="X38" s="6" t="s">
        <v>283</v>
      </c>
      <c r="Y38" s="16" t="s">
        <v>283</v>
      </c>
      <c r="Z38" s="16" t="s">
        <v>283</v>
      </c>
      <c r="AA38" s="16" t="s">
        <v>283</v>
      </c>
      <c r="AB38" s="16" t="s">
        <v>283</v>
      </c>
      <c r="AC38" s="6" t="s">
        <v>283</v>
      </c>
      <c r="AD38" s="6" t="s">
        <v>283</v>
      </c>
      <c r="AE38" s="6" t="s">
        <v>283</v>
      </c>
      <c r="AF38" s="6" t="s">
        <v>283</v>
      </c>
      <c r="AG38" s="6" t="s">
        <v>283</v>
      </c>
      <c r="AH38" s="6" t="s">
        <v>283</v>
      </c>
      <c r="AI38" s="6" t="s">
        <v>283</v>
      </c>
      <c r="AJ38" s="6" t="s">
        <v>283</v>
      </c>
    </row>
    <row r="39" spans="2:36" x14ac:dyDescent="0.3">
      <c r="B39" s="6">
        <v>16</v>
      </c>
      <c r="C39" s="8" t="s">
        <v>43</v>
      </c>
      <c r="D39" s="6" t="s">
        <v>131</v>
      </c>
      <c r="E39" s="10" t="s">
        <v>124</v>
      </c>
      <c r="F39" s="6">
        <v>116</v>
      </c>
      <c r="G39" s="47">
        <f>16+5+1</f>
        <v>22</v>
      </c>
      <c r="H39" s="41">
        <f>65+29</f>
        <v>94</v>
      </c>
      <c r="I39" s="6" t="s">
        <v>365</v>
      </c>
      <c r="J39" s="6" t="s">
        <v>283</v>
      </c>
      <c r="K39" s="28">
        <v>1.02</v>
      </c>
      <c r="L39" s="11"/>
      <c r="M39" s="12"/>
      <c r="N39" s="12"/>
      <c r="O39" s="12"/>
      <c r="P39" s="7">
        <v>63.6</v>
      </c>
      <c r="Q39" s="7">
        <v>75.5</v>
      </c>
      <c r="R39" s="7"/>
      <c r="S39" s="7"/>
      <c r="T39" s="7"/>
      <c r="U39" s="7"/>
      <c r="V39" s="7"/>
      <c r="W39" s="7">
        <v>0.72</v>
      </c>
      <c r="X39" s="7" t="s">
        <v>160</v>
      </c>
      <c r="Y39" s="17">
        <f>$G39*$P39/100</f>
        <v>13.992000000000001</v>
      </c>
      <c r="Z39" s="17">
        <f>$H39-$AB39</f>
        <v>23.03</v>
      </c>
      <c r="AA39" s="17">
        <f>$G39-$Y39</f>
        <v>8.0079999999999991</v>
      </c>
      <c r="AB39" s="17">
        <f>H39*Q39/100</f>
        <v>70.97</v>
      </c>
      <c r="AC39" s="7">
        <f t="shared" ref="AC39:AC42" si="34">$Y39/($Y39+$AA39)</f>
        <v>0.63600000000000001</v>
      </c>
      <c r="AD39" s="7">
        <f t="shared" ref="AD39:AD42" si="35">$AB39/($Z39+$AB39)</f>
        <v>0.755</v>
      </c>
      <c r="AE39" s="7">
        <f t="shared" ref="AE39:AE40" si="36">$Y39/(Y39+$Z39)</f>
        <v>0.37793744260169626</v>
      </c>
      <c r="AF39" s="7">
        <f t="shared" ref="AF39:AF42" si="37">$AB39/($AA39+$AB39)</f>
        <v>0.8986046747195422</v>
      </c>
      <c r="AG39" s="7">
        <f t="shared" ref="AG39:AG42" si="38">$AC39/(1-$AD39)</f>
        <v>2.5959183673469388</v>
      </c>
      <c r="AH39" s="7">
        <f t="shared" ref="AH39:AH42" si="39">(1-$AC39)/$AD39</f>
        <v>0.48211920529801322</v>
      </c>
      <c r="AI39" s="7">
        <f t="shared" ref="AI39:AI40" si="40">(Y39+AB39)/(Y39+Z39+AA39+AB39)</f>
        <v>0.7324310344827587</v>
      </c>
      <c r="AJ39" s="20">
        <f t="shared" ref="AJ39:AJ42" si="41">($Y39*$AB39)/($Z39*$AA39)</f>
        <v>5.3843911190849969</v>
      </c>
    </row>
    <row r="40" spans="2:36" x14ac:dyDescent="0.3">
      <c r="B40" s="6">
        <v>17</v>
      </c>
      <c r="C40" s="8" t="s">
        <v>44</v>
      </c>
      <c r="D40" s="6" t="s">
        <v>132</v>
      </c>
      <c r="E40" s="10" t="s">
        <v>125</v>
      </c>
      <c r="F40" s="6">
        <v>160</v>
      </c>
      <c r="G40" s="47">
        <f>37+25+26</f>
        <v>88</v>
      </c>
      <c r="H40" s="41">
        <f>21+51</f>
        <v>72</v>
      </c>
      <c r="I40" s="6" t="s">
        <v>365</v>
      </c>
      <c r="J40" s="6" t="s">
        <v>283</v>
      </c>
      <c r="K40" s="28">
        <v>1.345</v>
      </c>
      <c r="L40" s="11"/>
      <c r="M40" s="12"/>
      <c r="N40" s="12"/>
      <c r="O40" s="12"/>
      <c r="P40" s="7">
        <v>65.900000000000006</v>
      </c>
      <c r="Q40" s="7">
        <v>80.599999999999994</v>
      </c>
      <c r="R40" s="7">
        <v>80.599999999999994</v>
      </c>
      <c r="S40" s="7">
        <v>65.900000000000006</v>
      </c>
      <c r="T40" s="7"/>
      <c r="U40" s="7"/>
      <c r="V40" s="7">
        <v>72.5</v>
      </c>
      <c r="W40" s="7">
        <v>0.78</v>
      </c>
      <c r="X40" s="7"/>
      <c r="Y40" s="17">
        <f>$G40*$P40/100</f>
        <v>57.992000000000004</v>
      </c>
      <c r="Z40" s="17">
        <f>$H40-$AB40</f>
        <v>13.968000000000004</v>
      </c>
      <c r="AA40" s="17">
        <f>$G40-$Y40</f>
        <v>30.007999999999996</v>
      </c>
      <c r="AB40" s="17">
        <f>H40*Q40/100</f>
        <v>58.031999999999996</v>
      </c>
      <c r="AC40" s="7">
        <f t="shared" si="34"/>
        <v>0.65900000000000003</v>
      </c>
      <c r="AD40" s="7">
        <f t="shared" si="35"/>
        <v>0.80599999999999994</v>
      </c>
      <c r="AE40" s="7">
        <f t="shared" si="36"/>
        <v>0.8058921623123958</v>
      </c>
      <c r="AF40" s="7">
        <f t="shared" si="37"/>
        <v>0.6591549295774648</v>
      </c>
      <c r="AG40" s="7">
        <f t="shared" si="38"/>
        <v>3.3969072164948444</v>
      </c>
      <c r="AH40" s="7">
        <f t="shared" si="39"/>
        <v>0.42307692307692307</v>
      </c>
      <c r="AI40" s="7">
        <f t="shared" si="40"/>
        <v>0.72514999999999996</v>
      </c>
      <c r="AJ40" s="20">
        <f t="shared" si="41"/>
        <v>8.0290534208059974</v>
      </c>
    </row>
    <row r="41" spans="2:36" x14ac:dyDescent="0.3">
      <c r="B41" s="6">
        <v>18</v>
      </c>
      <c r="C41" s="8" t="s">
        <v>45</v>
      </c>
      <c r="D41" s="6" t="s">
        <v>18</v>
      </c>
      <c r="E41" s="10" t="s">
        <v>123</v>
      </c>
      <c r="F41" s="6">
        <v>137</v>
      </c>
      <c r="G41" s="47" t="s">
        <v>208</v>
      </c>
      <c r="H41" s="47" t="s">
        <v>208</v>
      </c>
      <c r="I41" s="6" t="s">
        <v>365</v>
      </c>
      <c r="J41" s="6" t="s">
        <v>283</v>
      </c>
      <c r="K41" s="37" t="s">
        <v>208</v>
      </c>
      <c r="L41" s="11"/>
      <c r="M41" s="12"/>
      <c r="N41" s="12"/>
      <c r="O41" s="12"/>
      <c r="P41" s="7"/>
      <c r="Q41" s="7"/>
      <c r="R41" s="7"/>
      <c r="S41" s="7"/>
      <c r="T41" s="7"/>
      <c r="U41" s="7"/>
      <c r="V41" s="7"/>
      <c r="W41" s="7">
        <v>0.86599999999999999</v>
      </c>
      <c r="X41" s="35" t="s">
        <v>411</v>
      </c>
      <c r="Y41" s="12"/>
      <c r="Z41" s="12"/>
      <c r="AA41" s="12"/>
      <c r="AB41" s="12"/>
      <c r="AC41" s="7"/>
      <c r="AD41" s="7"/>
      <c r="AE41" s="7"/>
      <c r="AF41" s="7"/>
      <c r="AG41" s="7"/>
      <c r="AH41" s="7"/>
      <c r="AI41" s="7"/>
      <c r="AJ41" s="20"/>
    </row>
    <row r="42" spans="2:36" x14ac:dyDescent="0.3">
      <c r="B42" s="6">
        <v>19</v>
      </c>
      <c r="C42" s="8" t="s">
        <v>47</v>
      </c>
      <c r="D42" s="6" t="s">
        <v>18</v>
      </c>
      <c r="E42" s="10" t="s">
        <v>123</v>
      </c>
      <c r="F42" s="6">
        <v>213</v>
      </c>
      <c r="G42" s="15">
        <f>37+17+23</f>
        <v>77</v>
      </c>
      <c r="H42" s="6">
        <v>136</v>
      </c>
      <c r="I42" s="6" t="s">
        <v>365</v>
      </c>
      <c r="J42" s="6" t="s">
        <v>283</v>
      </c>
      <c r="K42" s="28">
        <v>0.94</v>
      </c>
      <c r="L42" s="11"/>
      <c r="M42" s="12"/>
      <c r="N42" s="12"/>
      <c r="O42" s="12"/>
      <c r="P42" s="7">
        <v>77.900000000000006</v>
      </c>
      <c r="Q42" s="7">
        <v>75</v>
      </c>
      <c r="R42" s="7">
        <v>63.8</v>
      </c>
      <c r="S42" s="7">
        <v>85.7</v>
      </c>
      <c r="T42" s="7"/>
      <c r="U42" s="7"/>
      <c r="V42" s="7">
        <v>76.099999999999994</v>
      </c>
      <c r="W42" s="7">
        <v>0.78400000000000003</v>
      </c>
      <c r="X42" s="7"/>
      <c r="Y42" s="17">
        <f>$G42*$P42/100</f>
        <v>59.983000000000004</v>
      </c>
      <c r="Z42" s="17">
        <f>$H42-$AB42</f>
        <v>34</v>
      </c>
      <c r="AA42" s="17">
        <f>$G42-$Y42</f>
        <v>17.016999999999996</v>
      </c>
      <c r="AB42" s="17">
        <f>H42*Q42/100</f>
        <v>102</v>
      </c>
      <c r="AC42" s="7">
        <f t="shared" si="34"/>
        <v>0.77900000000000003</v>
      </c>
      <c r="AD42" s="7">
        <f t="shared" si="35"/>
        <v>0.75</v>
      </c>
      <c r="AE42" s="7">
        <f t="shared" ref="AE42" si="42">$Y42/(Y42+$Z42)</f>
        <v>0.63823244629347864</v>
      </c>
      <c r="AF42" s="7">
        <f t="shared" si="37"/>
        <v>0.85702042565347814</v>
      </c>
      <c r="AG42" s="7">
        <f t="shared" si="38"/>
        <v>3.1160000000000001</v>
      </c>
      <c r="AH42" s="7">
        <f t="shared" si="39"/>
        <v>0.29466666666666663</v>
      </c>
      <c r="AI42" s="7">
        <f t="shared" ref="AI42" si="43">(Y42+AB42)/(Y42+Z42+AA42+AB42)</f>
        <v>0.76048356807511741</v>
      </c>
      <c r="AJ42" s="20">
        <f t="shared" si="41"/>
        <v>10.574660633484166</v>
      </c>
    </row>
    <row r="43" spans="2:36" x14ac:dyDescent="0.3">
      <c r="B43" s="6">
        <v>20</v>
      </c>
      <c r="C43" s="8" t="s">
        <v>50</v>
      </c>
      <c r="D43" s="6" t="s">
        <v>130</v>
      </c>
      <c r="E43" s="10" t="s">
        <v>120</v>
      </c>
      <c r="F43" s="6">
        <v>122</v>
      </c>
      <c r="G43" s="6" t="s">
        <v>283</v>
      </c>
      <c r="H43" s="6" t="s">
        <v>283</v>
      </c>
      <c r="I43" s="6" t="s">
        <v>365</v>
      </c>
      <c r="J43" s="6" t="s">
        <v>283</v>
      </c>
      <c r="K43" s="28" t="s">
        <v>283</v>
      </c>
      <c r="L43" s="31" t="s">
        <v>283</v>
      </c>
      <c r="M43" s="31" t="s">
        <v>283</v>
      </c>
      <c r="N43" s="31" t="s">
        <v>283</v>
      </c>
      <c r="O43" s="31" t="s">
        <v>283</v>
      </c>
      <c r="P43" s="6" t="s">
        <v>283</v>
      </c>
      <c r="Q43" s="6" t="s">
        <v>283</v>
      </c>
      <c r="R43" s="6" t="s">
        <v>283</v>
      </c>
      <c r="S43" s="6" t="s">
        <v>283</v>
      </c>
      <c r="T43" s="6" t="s">
        <v>283</v>
      </c>
      <c r="U43" s="6" t="s">
        <v>283</v>
      </c>
      <c r="V43" s="6" t="s">
        <v>283</v>
      </c>
      <c r="W43" s="6" t="s">
        <v>283</v>
      </c>
      <c r="X43" s="6" t="s">
        <v>283</v>
      </c>
      <c r="Y43" s="16" t="s">
        <v>283</v>
      </c>
      <c r="Z43" s="16" t="s">
        <v>283</v>
      </c>
      <c r="AA43" s="16" t="s">
        <v>283</v>
      </c>
      <c r="AB43" s="16" t="s">
        <v>283</v>
      </c>
      <c r="AC43" s="6" t="s">
        <v>283</v>
      </c>
      <c r="AD43" s="6" t="s">
        <v>283</v>
      </c>
      <c r="AE43" s="6" t="s">
        <v>283</v>
      </c>
      <c r="AF43" s="6" t="s">
        <v>283</v>
      </c>
      <c r="AG43" s="6" t="s">
        <v>283</v>
      </c>
      <c r="AH43" s="6" t="s">
        <v>283</v>
      </c>
      <c r="AI43" s="6" t="s">
        <v>283</v>
      </c>
      <c r="AJ43" s="6" t="s">
        <v>283</v>
      </c>
    </row>
    <row r="44" spans="2:36" x14ac:dyDescent="0.3">
      <c r="B44" s="6"/>
      <c r="C44" s="8"/>
      <c r="D44" s="6"/>
      <c r="E44" s="10"/>
      <c r="F44" s="6">
        <v>122</v>
      </c>
      <c r="G44" s="6" t="s">
        <v>283</v>
      </c>
      <c r="H44" s="6" t="s">
        <v>283</v>
      </c>
      <c r="I44" s="6" t="s">
        <v>283</v>
      </c>
      <c r="J44" s="6" t="s">
        <v>135</v>
      </c>
      <c r="K44" s="28" t="s">
        <v>283</v>
      </c>
      <c r="L44" s="31" t="s">
        <v>283</v>
      </c>
      <c r="M44" s="31" t="s">
        <v>283</v>
      </c>
      <c r="N44" s="31" t="s">
        <v>283</v>
      </c>
      <c r="O44" s="31" t="s">
        <v>283</v>
      </c>
      <c r="P44" s="6" t="s">
        <v>283</v>
      </c>
      <c r="Q44" s="6" t="s">
        <v>283</v>
      </c>
      <c r="R44" s="6" t="s">
        <v>283</v>
      </c>
      <c r="S44" s="6" t="s">
        <v>283</v>
      </c>
      <c r="T44" s="6" t="s">
        <v>283</v>
      </c>
      <c r="U44" s="6" t="s">
        <v>283</v>
      </c>
      <c r="V44" s="6" t="s">
        <v>283</v>
      </c>
      <c r="W44" s="6" t="s">
        <v>283</v>
      </c>
      <c r="X44" s="6" t="s">
        <v>283</v>
      </c>
      <c r="Y44" s="16" t="s">
        <v>283</v>
      </c>
      <c r="Z44" s="16" t="s">
        <v>283</v>
      </c>
      <c r="AA44" s="16" t="s">
        <v>283</v>
      </c>
      <c r="AB44" s="16" t="s">
        <v>283</v>
      </c>
      <c r="AC44" s="6" t="s">
        <v>283</v>
      </c>
      <c r="AD44" s="6" t="s">
        <v>283</v>
      </c>
      <c r="AE44" s="6" t="s">
        <v>283</v>
      </c>
      <c r="AF44" s="6" t="s">
        <v>283</v>
      </c>
      <c r="AG44" s="6" t="s">
        <v>283</v>
      </c>
      <c r="AH44" s="6" t="s">
        <v>283</v>
      </c>
      <c r="AI44" s="6" t="s">
        <v>283</v>
      </c>
      <c r="AJ44" s="6" t="s">
        <v>283</v>
      </c>
    </row>
    <row r="45" spans="2:36" x14ac:dyDescent="0.3">
      <c r="B45" s="6">
        <v>21</v>
      </c>
      <c r="C45" s="8" t="s">
        <v>52</v>
      </c>
      <c r="D45" s="6" t="s">
        <v>132</v>
      </c>
      <c r="E45" s="10" t="s">
        <v>125</v>
      </c>
      <c r="F45" s="6">
        <v>151</v>
      </c>
      <c r="G45" s="6" t="s">
        <v>283</v>
      </c>
      <c r="H45" s="6" t="s">
        <v>283</v>
      </c>
      <c r="I45" s="6" t="s">
        <v>365</v>
      </c>
      <c r="J45" s="6" t="s">
        <v>283</v>
      </c>
      <c r="K45" s="28" t="s">
        <v>283</v>
      </c>
      <c r="L45" s="31" t="s">
        <v>283</v>
      </c>
      <c r="M45" s="31" t="s">
        <v>283</v>
      </c>
      <c r="N45" s="31" t="s">
        <v>283</v>
      </c>
      <c r="O45" s="31" t="s">
        <v>283</v>
      </c>
      <c r="P45" s="6" t="s">
        <v>283</v>
      </c>
      <c r="Q45" s="6" t="s">
        <v>283</v>
      </c>
      <c r="R45" s="6" t="s">
        <v>283</v>
      </c>
      <c r="S45" s="6" t="s">
        <v>283</v>
      </c>
      <c r="T45" s="6" t="s">
        <v>283</v>
      </c>
      <c r="U45" s="6" t="s">
        <v>283</v>
      </c>
      <c r="V45" s="6" t="s">
        <v>283</v>
      </c>
      <c r="W45" s="6" t="s">
        <v>283</v>
      </c>
      <c r="X45" s="6" t="s">
        <v>283</v>
      </c>
      <c r="Y45" s="16" t="s">
        <v>283</v>
      </c>
      <c r="Z45" s="16" t="s">
        <v>283</v>
      </c>
      <c r="AA45" s="16" t="s">
        <v>283</v>
      </c>
      <c r="AB45" s="16" t="s">
        <v>283</v>
      </c>
      <c r="AC45" s="6" t="s">
        <v>283</v>
      </c>
      <c r="AD45" s="6" t="s">
        <v>283</v>
      </c>
      <c r="AE45" s="6" t="s">
        <v>283</v>
      </c>
      <c r="AF45" s="6" t="s">
        <v>283</v>
      </c>
      <c r="AG45" s="6" t="s">
        <v>283</v>
      </c>
      <c r="AH45" s="6" t="s">
        <v>283</v>
      </c>
      <c r="AI45" s="6" t="s">
        <v>283</v>
      </c>
      <c r="AJ45" s="6" t="s">
        <v>283</v>
      </c>
    </row>
    <row r="46" spans="2:36" x14ac:dyDescent="0.3">
      <c r="B46" s="6"/>
      <c r="C46" s="8"/>
      <c r="D46" s="6"/>
      <c r="E46" s="10"/>
      <c r="F46" s="6">
        <v>151</v>
      </c>
      <c r="G46" s="6" t="s">
        <v>283</v>
      </c>
      <c r="H46" s="6" t="s">
        <v>283</v>
      </c>
      <c r="I46" s="6" t="s">
        <v>283</v>
      </c>
      <c r="J46" s="6" t="s">
        <v>9</v>
      </c>
      <c r="K46" s="28" t="s">
        <v>283</v>
      </c>
      <c r="L46" s="31" t="s">
        <v>283</v>
      </c>
      <c r="M46" s="31" t="s">
        <v>283</v>
      </c>
      <c r="N46" s="31" t="s">
        <v>283</v>
      </c>
      <c r="O46" s="31" t="s">
        <v>283</v>
      </c>
      <c r="P46" s="6" t="s">
        <v>283</v>
      </c>
      <c r="Q46" s="6" t="s">
        <v>283</v>
      </c>
      <c r="R46" s="6" t="s">
        <v>283</v>
      </c>
      <c r="S46" s="6" t="s">
        <v>283</v>
      </c>
      <c r="T46" s="6" t="s">
        <v>283</v>
      </c>
      <c r="U46" s="6" t="s">
        <v>283</v>
      </c>
      <c r="V46" s="6" t="s">
        <v>283</v>
      </c>
      <c r="W46" s="6" t="s">
        <v>283</v>
      </c>
      <c r="X46" s="6" t="s">
        <v>283</v>
      </c>
      <c r="Y46" s="16" t="s">
        <v>283</v>
      </c>
      <c r="Z46" s="16" t="s">
        <v>283</v>
      </c>
      <c r="AA46" s="16" t="s">
        <v>283</v>
      </c>
      <c r="AB46" s="16" t="s">
        <v>283</v>
      </c>
      <c r="AC46" s="6" t="s">
        <v>283</v>
      </c>
      <c r="AD46" s="6" t="s">
        <v>283</v>
      </c>
      <c r="AE46" s="6" t="s">
        <v>283</v>
      </c>
      <c r="AF46" s="6" t="s">
        <v>283</v>
      </c>
      <c r="AG46" s="6" t="s">
        <v>283</v>
      </c>
      <c r="AH46" s="6" t="s">
        <v>283</v>
      </c>
      <c r="AI46" s="6" t="s">
        <v>283</v>
      </c>
      <c r="AJ46" s="6" t="s">
        <v>283</v>
      </c>
    </row>
    <row r="47" spans="2:36" x14ac:dyDescent="0.3">
      <c r="B47" s="6"/>
      <c r="C47" s="8"/>
      <c r="D47" s="6"/>
      <c r="E47" s="10"/>
      <c r="F47" s="6">
        <v>151</v>
      </c>
      <c r="G47" s="6" t="s">
        <v>283</v>
      </c>
      <c r="H47" s="6" t="s">
        <v>283</v>
      </c>
      <c r="I47" s="6" t="s">
        <v>283</v>
      </c>
      <c r="J47" s="6" t="s">
        <v>135</v>
      </c>
      <c r="K47" s="28" t="s">
        <v>283</v>
      </c>
      <c r="L47" s="31" t="s">
        <v>283</v>
      </c>
      <c r="M47" s="31" t="s">
        <v>283</v>
      </c>
      <c r="N47" s="31" t="s">
        <v>283</v>
      </c>
      <c r="O47" s="31" t="s">
        <v>283</v>
      </c>
      <c r="P47" s="6" t="s">
        <v>283</v>
      </c>
      <c r="Q47" s="6" t="s">
        <v>283</v>
      </c>
      <c r="R47" s="6" t="s">
        <v>283</v>
      </c>
      <c r="S47" s="6" t="s">
        <v>283</v>
      </c>
      <c r="T47" s="6" t="s">
        <v>283</v>
      </c>
      <c r="U47" s="6" t="s">
        <v>283</v>
      </c>
      <c r="V47" s="6" t="s">
        <v>283</v>
      </c>
      <c r="W47" s="6" t="s">
        <v>283</v>
      </c>
      <c r="X47" s="6" t="s">
        <v>283</v>
      </c>
      <c r="Y47" s="16" t="s">
        <v>283</v>
      </c>
      <c r="Z47" s="16" t="s">
        <v>283</v>
      </c>
      <c r="AA47" s="16" t="s">
        <v>283</v>
      </c>
      <c r="AB47" s="16" t="s">
        <v>283</v>
      </c>
      <c r="AC47" s="6" t="s">
        <v>283</v>
      </c>
      <c r="AD47" s="6" t="s">
        <v>283</v>
      </c>
      <c r="AE47" s="6" t="s">
        <v>283</v>
      </c>
      <c r="AF47" s="6" t="s">
        <v>283</v>
      </c>
      <c r="AG47" s="6" t="s">
        <v>283</v>
      </c>
      <c r="AH47" s="6" t="s">
        <v>283</v>
      </c>
      <c r="AI47" s="6" t="s">
        <v>283</v>
      </c>
      <c r="AJ47" s="6" t="s">
        <v>283</v>
      </c>
    </row>
    <row r="48" spans="2:36" x14ac:dyDescent="0.3">
      <c r="B48" s="6">
        <v>22</v>
      </c>
      <c r="C48" s="8" t="s">
        <v>55</v>
      </c>
      <c r="D48" s="6" t="s">
        <v>132</v>
      </c>
      <c r="E48" s="10" t="s">
        <v>125</v>
      </c>
      <c r="F48" s="6">
        <v>554</v>
      </c>
      <c r="G48" s="15">
        <f>206+50+6</f>
        <v>262</v>
      </c>
      <c r="H48" s="6">
        <v>292</v>
      </c>
      <c r="I48" s="6" t="s">
        <v>365</v>
      </c>
      <c r="J48" s="6" t="s">
        <v>283</v>
      </c>
      <c r="K48" s="28">
        <v>0.25</v>
      </c>
      <c r="L48" s="11"/>
      <c r="M48" s="12"/>
      <c r="N48" s="12"/>
      <c r="O48" s="12"/>
      <c r="P48" s="7">
        <v>74.8</v>
      </c>
      <c r="Q48" s="7">
        <v>47.3</v>
      </c>
      <c r="R48" s="7"/>
      <c r="S48" s="7"/>
      <c r="T48" s="7"/>
      <c r="U48" s="7"/>
      <c r="V48" s="7"/>
      <c r="W48" s="7">
        <v>0.65300000000000002</v>
      </c>
      <c r="X48" s="7" t="s">
        <v>163</v>
      </c>
      <c r="Y48" s="17">
        <f t="shared" ref="Y48:Y57" si="44">$G48*$P48/100</f>
        <v>195.976</v>
      </c>
      <c r="Z48" s="17">
        <f t="shared" ref="Z48:Z57" si="45">$H48-$AB48</f>
        <v>153.88400000000001</v>
      </c>
      <c r="AA48" s="17">
        <f t="shared" ref="AA48:AA57" si="46">$G48-$Y48</f>
        <v>66.024000000000001</v>
      </c>
      <c r="AB48" s="17">
        <f t="shared" ref="AB48:AB57" si="47">H48*Q48/100</f>
        <v>138.11599999999999</v>
      </c>
      <c r="AC48" s="7">
        <f t="shared" ref="AC48:AC57" si="48">$Y48/($Y48+$AA48)</f>
        <v>0.748</v>
      </c>
      <c r="AD48" s="7">
        <f t="shared" ref="AD48:AD57" si="49">$AB48/($Z48+$AB48)</f>
        <v>0.47299999999999998</v>
      </c>
      <c r="AE48" s="7">
        <f t="shared" ref="AE48:AE57" si="50">$Y48/(Y48+$Z48)</f>
        <v>0.56015549076773563</v>
      </c>
      <c r="AF48" s="7">
        <f t="shared" ref="AF48:AF57" si="51">$AB48/($AA48+$AB48)</f>
        <v>0.67657489957872041</v>
      </c>
      <c r="AG48" s="7">
        <f t="shared" ref="AG48:AG57" si="52">$AC48/(1-$AD48)</f>
        <v>1.4193548387096773</v>
      </c>
      <c r="AH48" s="7">
        <f t="shared" ref="AH48:AH57" si="53">(1-$AC48)/$AD48</f>
        <v>0.53276955602537002</v>
      </c>
      <c r="AI48" s="7">
        <f t="shared" ref="AI48:AI57" si="54">(Y48+AB48)/(Y48+Z48+AA48+AB48)</f>
        <v>0.60305415162454867</v>
      </c>
      <c r="AJ48" s="20">
        <f t="shared" ref="AJ48:AJ57" si="55">($Y48*$AB48)/($Z48*$AA48)</f>
        <v>2.6641065028161801</v>
      </c>
    </row>
    <row r="49" spans="2:36" x14ac:dyDescent="0.3">
      <c r="B49" s="6">
        <v>23</v>
      </c>
      <c r="C49" s="8" t="s">
        <v>57</v>
      </c>
      <c r="D49" s="6" t="s">
        <v>18</v>
      </c>
      <c r="E49" s="10" t="s">
        <v>123</v>
      </c>
      <c r="F49" s="6">
        <v>165</v>
      </c>
      <c r="G49" s="15">
        <f>24+47+11</f>
        <v>82</v>
      </c>
      <c r="H49" s="6">
        <f>12+71</f>
        <v>83</v>
      </c>
      <c r="I49" s="6" t="s">
        <v>365</v>
      </c>
      <c r="J49" s="6" t="s">
        <v>283</v>
      </c>
      <c r="K49" s="28">
        <v>0.83</v>
      </c>
      <c r="L49" s="11"/>
      <c r="M49" s="12"/>
      <c r="N49" s="12"/>
      <c r="O49" s="12"/>
      <c r="P49" s="7">
        <v>73.099999999999994</v>
      </c>
      <c r="Q49" s="7">
        <v>81.900000000000006</v>
      </c>
      <c r="R49" s="7">
        <v>80</v>
      </c>
      <c r="S49" s="7">
        <v>75</v>
      </c>
      <c r="T49" s="7"/>
      <c r="U49" s="7"/>
      <c r="V49" s="7"/>
      <c r="W49" s="7">
        <v>0.83199999999999996</v>
      </c>
      <c r="X49" s="7" t="s">
        <v>166</v>
      </c>
      <c r="Y49" s="17">
        <f t="shared" si="44"/>
        <v>59.942</v>
      </c>
      <c r="Z49" s="17">
        <f t="shared" si="45"/>
        <v>15.022999999999996</v>
      </c>
      <c r="AA49" s="17">
        <f t="shared" si="46"/>
        <v>22.058</v>
      </c>
      <c r="AB49" s="17">
        <f t="shared" si="47"/>
        <v>67.977000000000004</v>
      </c>
      <c r="AC49" s="7">
        <f t="shared" si="48"/>
        <v>0.73099999999999998</v>
      </c>
      <c r="AD49" s="7">
        <f t="shared" si="49"/>
        <v>0.81900000000000006</v>
      </c>
      <c r="AE49" s="7">
        <f t="shared" si="50"/>
        <v>0.79959981324618157</v>
      </c>
      <c r="AF49" s="7">
        <f t="shared" si="51"/>
        <v>0.75500638640528694</v>
      </c>
      <c r="AG49" s="7">
        <f t="shared" si="52"/>
        <v>4.0386740331491726</v>
      </c>
      <c r="AH49" s="7">
        <f t="shared" si="53"/>
        <v>0.32844932844932845</v>
      </c>
      <c r="AI49" s="7">
        <f t="shared" si="54"/>
        <v>0.77526666666666677</v>
      </c>
      <c r="AJ49" s="20">
        <f t="shared" si="55"/>
        <v>12.296185996837073</v>
      </c>
    </row>
    <row r="50" spans="2:36" x14ac:dyDescent="0.3">
      <c r="B50" s="6"/>
      <c r="C50" s="8"/>
      <c r="D50" s="6"/>
      <c r="E50" s="10"/>
      <c r="F50" s="6">
        <v>165</v>
      </c>
      <c r="G50" s="15">
        <f>24+47+11</f>
        <v>82</v>
      </c>
      <c r="H50" s="6">
        <f>12+71</f>
        <v>83</v>
      </c>
      <c r="I50" s="6" t="s">
        <v>283</v>
      </c>
      <c r="J50" s="6" t="s">
        <v>248</v>
      </c>
      <c r="K50" s="28" t="s">
        <v>377</v>
      </c>
      <c r="L50" s="11"/>
      <c r="M50" s="12"/>
      <c r="N50" s="12"/>
      <c r="O50" s="12"/>
      <c r="P50" s="7">
        <v>79.3</v>
      </c>
      <c r="Q50" s="7">
        <v>78</v>
      </c>
      <c r="R50" s="7">
        <v>81.900000000000006</v>
      </c>
      <c r="S50" s="7">
        <v>75</v>
      </c>
      <c r="T50" s="7"/>
      <c r="U50" s="7"/>
      <c r="V50" s="7"/>
      <c r="W50" s="7">
        <v>0.83</v>
      </c>
      <c r="X50" s="7" t="s">
        <v>249</v>
      </c>
      <c r="Y50" s="17">
        <f t="shared" si="44"/>
        <v>65.025999999999996</v>
      </c>
      <c r="Z50" s="17">
        <f t="shared" si="45"/>
        <v>18.260000000000005</v>
      </c>
      <c r="AA50" s="17">
        <f t="shared" si="46"/>
        <v>16.974000000000004</v>
      </c>
      <c r="AB50" s="17">
        <f t="shared" si="47"/>
        <v>64.739999999999995</v>
      </c>
      <c r="AC50" s="7">
        <f t="shared" si="48"/>
        <v>0.79299999999999993</v>
      </c>
      <c r="AD50" s="7">
        <f t="shared" si="49"/>
        <v>0.77999999999999992</v>
      </c>
      <c r="AE50" s="7">
        <f t="shared" ref="AE50" si="56">$Y50/(Y50+$Z50)</f>
        <v>0.78075546910645244</v>
      </c>
      <c r="AF50" s="7">
        <f t="shared" si="51"/>
        <v>0.79227549746677428</v>
      </c>
      <c r="AG50" s="7">
        <f t="shared" si="52"/>
        <v>3.6045454545454527</v>
      </c>
      <c r="AH50" s="7">
        <f t="shared" si="53"/>
        <v>0.2653846153846155</v>
      </c>
      <c r="AI50" s="7">
        <f t="shared" ref="AI50" si="57">(Y50+AB50)/(Y50+Z50+AA50+AB50)</f>
        <v>0.78646060606060597</v>
      </c>
      <c r="AJ50" s="20">
        <f t="shared" si="55"/>
        <v>13.582345191040835</v>
      </c>
    </row>
    <row r="51" spans="2:36" x14ac:dyDescent="0.3">
      <c r="B51" s="6"/>
      <c r="C51" s="8"/>
      <c r="D51" s="6"/>
      <c r="E51" s="10"/>
      <c r="F51" s="6">
        <v>165</v>
      </c>
      <c r="G51" s="15">
        <f>24+47+11</f>
        <v>82</v>
      </c>
      <c r="H51" s="6">
        <f>12+71</f>
        <v>83</v>
      </c>
      <c r="I51" s="6" t="s">
        <v>283</v>
      </c>
      <c r="J51" s="6" t="s">
        <v>29</v>
      </c>
      <c r="K51" s="28" t="s">
        <v>378</v>
      </c>
      <c r="L51" s="11"/>
      <c r="M51" s="12"/>
      <c r="N51" s="12"/>
      <c r="O51" s="12"/>
      <c r="P51" s="7">
        <v>86.6</v>
      </c>
      <c r="Q51" s="7">
        <v>86.2</v>
      </c>
      <c r="R51" s="7">
        <v>88.1</v>
      </c>
      <c r="S51" s="7">
        <v>84.6</v>
      </c>
      <c r="T51" s="7"/>
      <c r="U51" s="7"/>
      <c r="V51" s="7"/>
      <c r="W51" s="7">
        <v>0.91</v>
      </c>
      <c r="X51" s="7" t="s">
        <v>250</v>
      </c>
      <c r="Y51" s="17">
        <f t="shared" si="44"/>
        <v>71.012</v>
      </c>
      <c r="Z51" s="17">
        <f t="shared" si="45"/>
        <v>11.453999999999994</v>
      </c>
      <c r="AA51" s="17">
        <f t="shared" si="46"/>
        <v>10.988</v>
      </c>
      <c r="AB51" s="17">
        <f t="shared" si="47"/>
        <v>71.546000000000006</v>
      </c>
      <c r="AC51" s="7">
        <f t="shared" si="48"/>
        <v>0.86599999999999999</v>
      </c>
      <c r="AD51" s="7">
        <f t="shared" si="49"/>
        <v>0.8620000000000001</v>
      </c>
      <c r="AE51" s="7">
        <f t="shared" ref="AE51" si="58">$Y51/(Y51+$Z51)</f>
        <v>0.86110639536293754</v>
      </c>
      <c r="AF51" s="7">
        <f t="shared" si="51"/>
        <v>0.86686698815033802</v>
      </c>
      <c r="AG51" s="7">
        <f t="shared" si="52"/>
        <v>6.2753623188405845</v>
      </c>
      <c r="AH51" s="7">
        <f t="shared" si="53"/>
        <v>0.15545243619489557</v>
      </c>
      <c r="AI51" s="7">
        <f t="shared" ref="AI51" si="59">(Y51+AB51)/(Y51+Z51+AA51+AB51)</f>
        <v>0.86398787878787875</v>
      </c>
      <c r="AJ51" s="20">
        <f t="shared" si="55"/>
        <v>40.3683755137357</v>
      </c>
    </row>
    <row r="52" spans="2:36" x14ac:dyDescent="0.3">
      <c r="B52" s="6">
        <v>24</v>
      </c>
      <c r="C52" s="8" t="s">
        <v>60</v>
      </c>
      <c r="D52" s="6" t="s">
        <v>131</v>
      </c>
      <c r="E52" s="10" t="s">
        <v>127</v>
      </c>
      <c r="F52" s="6">
        <v>37</v>
      </c>
      <c r="G52" s="15">
        <f>6+4+11</f>
        <v>21</v>
      </c>
      <c r="H52" s="6">
        <f>6+10</f>
        <v>16</v>
      </c>
      <c r="I52" s="6" t="s">
        <v>217</v>
      </c>
      <c r="J52" s="6" t="s">
        <v>283</v>
      </c>
      <c r="K52" s="28">
        <v>1.59</v>
      </c>
      <c r="L52" s="11"/>
      <c r="M52" s="12"/>
      <c r="N52" s="12"/>
      <c r="O52" s="12"/>
      <c r="P52" s="7">
        <v>61</v>
      </c>
      <c r="Q52" s="7">
        <v>100</v>
      </c>
      <c r="R52" s="7"/>
      <c r="S52" s="7"/>
      <c r="T52" s="7"/>
      <c r="U52" s="7"/>
      <c r="V52" s="7"/>
      <c r="W52" s="7">
        <v>0.81</v>
      </c>
      <c r="X52" s="7"/>
      <c r="Y52" s="17">
        <f t="shared" si="44"/>
        <v>12.81</v>
      </c>
      <c r="Z52" s="17">
        <f t="shared" si="45"/>
        <v>0</v>
      </c>
      <c r="AA52" s="17">
        <f t="shared" si="46"/>
        <v>8.19</v>
      </c>
      <c r="AB52" s="17">
        <f t="shared" si="47"/>
        <v>16</v>
      </c>
      <c r="AC52" s="7">
        <f t="shared" si="48"/>
        <v>0.61</v>
      </c>
      <c r="AD52" s="7">
        <f t="shared" si="49"/>
        <v>1</v>
      </c>
      <c r="AE52" s="7">
        <f t="shared" si="50"/>
        <v>1</v>
      </c>
      <c r="AF52" s="7">
        <f t="shared" si="51"/>
        <v>0.66143034311699056</v>
      </c>
      <c r="AG52" s="6" t="s">
        <v>134</v>
      </c>
      <c r="AH52" s="7">
        <f t="shared" si="53"/>
        <v>0.39</v>
      </c>
      <c r="AI52" s="7">
        <f t="shared" si="54"/>
        <v>0.77864864864864869</v>
      </c>
      <c r="AJ52" s="21" t="s">
        <v>134</v>
      </c>
    </row>
    <row r="53" spans="2:36" x14ac:dyDescent="0.3">
      <c r="B53" s="6">
        <v>25</v>
      </c>
      <c r="C53" s="8" t="s">
        <v>61</v>
      </c>
      <c r="D53" s="6" t="s">
        <v>130</v>
      </c>
      <c r="E53" s="10" t="s">
        <v>120</v>
      </c>
      <c r="F53" s="6">
        <v>229</v>
      </c>
      <c r="G53" s="15">
        <f>56+38+50</f>
        <v>144</v>
      </c>
      <c r="H53" s="6">
        <f>23+62</f>
        <v>85</v>
      </c>
      <c r="I53" s="6" t="s">
        <v>365</v>
      </c>
      <c r="J53" s="6" t="s">
        <v>283</v>
      </c>
      <c r="K53" s="28">
        <v>1.61</v>
      </c>
      <c r="L53" s="11"/>
      <c r="M53" s="12"/>
      <c r="N53" s="12"/>
      <c r="O53" s="12"/>
      <c r="P53" s="7">
        <v>67.400000000000006</v>
      </c>
      <c r="Q53" s="7">
        <v>52.9</v>
      </c>
      <c r="R53" s="7">
        <v>70.8</v>
      </c>
      <c r="S53" s="7">
        <v>48.9</v>
      </c>
      <c r="T53" s="7"/>
      <c r="U53" s="7"/>
      <c r="V53" s="7">
        <v>62.1</v>
      </c>
      <c r="W53" s="7">
        <v>0.624</v>
      </c>
      <c r="X53" s="7"/>
      <c r="Y53" s="17">
        <f t="shared" si="44"/>
        <v>97.055999999999997</v>
      </c>
      <c r="Z53" s="17">
        <f t="shared" si="45"/>
        <v>40.034999999999997</v>
      </c>
      <c r="AA53" s="17">
        <f t="shared" si="46"/>
        <v>46.944000000000003</v>
      </c>
      <c r="AB53" s="17">
        <f t="shared" si="47"/>
        <v>44.965000000000003</v>
      </c>
      <c r="AC53" s="7">
        <f t="shared" si="48"/>
        <v>0.67399999999999993</v>
      </c>
      <c r="AD53" s="7">
        <f t="shared" si="49"/>
        <v>0.52900000000000003</v>
      </c>
      <c r="AE53" s="7">
        <f t="shared" si="50"/>
        <v>0.70796770028667089</v>
      </c>
      <c r="AF53" s="7">
        <f t="shared" si="51"/>
        <v>0.48923391615619799</v>
      </c>
      <c r="AG53" s="7">
        <f t="shared" si="52"/>
        <v>1.4309978768577494</v>
      </c>
      <c r="AH53" s="7">
        <f t="shared" si="53"/>
        <v>0.61625708884688102</v>
      </c>
      <c r="AI53" s="7">
        <f t="shared" si="54"/>
        <v>0.62017903930131002</v>
      </c>
      <c r="AJ53" s="20">
        <f t="shared" si="55"/>
        <v>2.3220793768642625</v>
      </c>
    </row>
    <row r="54" spans="2:36" x14ac:dyDescent="0.3">
      <c r="B54" s="6">
        <v>26</v>
      </c>
      <c r="C54" s="8" t="s">
        <v>64</v>
      </c>
      <c r="D54" s="6" t="s">
        <v>132</v>
      </c>
      <c r="E54" s="10" t="s">
        <v>125</v>
      </c>
      <c r="F54" s="6">
        <v>112</v>
      </c>
      <c r="G54" s="15">
        <f>26+24+22</f>
        <v>72</v>
      </c>
      <c r="H54" s="6">
        <f>4+36</f>
        <v>40</v>
      </c>
      <c r="I54" s="6" t="s">
        <v>365</v>
      </c>
      <c r="J54" s="6" t="s">
        <v>283</v>
      </c>
      <c r="K54" s="28">
        <v>0.94</v>
      </c>
      <c r="L54" s="11"/>
      <c r="M54" s="12"/>
      <c r="N54" s="12"/>
      <c r="O54" s="12"/>
      <c r="P54" s="7">
        <v>68</v>
      </c>
      <c r="Q54" s="7">
        <v>72</v>
      </c>
      <c r="R54" s="7"/>
      <c r="S54" s="7"/>
      <c r="T54" s="7"/>
      <c r="U54" s="7"/>
      <c r="V54" s="7"/>
      <c r="W54" s="7">
        <v>0.71299999999999997</v>
      </c>
      <c r="X54" s="7"/>
      <c r="Y54" s="17">
        <f t="shared" si="44"/>
        <v>48.96</v>
      </c>
      <c r="Z54" s="17">
        <f t="shared" si="45"/>
        <v>11.2</v>
      </c>
      <c r="AA54" s="17">
        <f t="shared" si="46"/>
        <v>23.04</v>
      </c>
      <c r="AB54" s="17">
        <f t="shared" si="47"/>
        <v>28.8</v>
      </c>
      <c r="AC54" s="7">
        <f t="shared" si="48"/>
        <v>0.68</v>
      </c>
      <c r="AD54" s="7">
        <f t="shared" si="49"/>
        <v>0.72</v>
      </c>
      <c r="AE54" s="7">
        <f t="shared" si="50"/>
        <v>0.81382978723404265</v>
      </c>
      <c r="AF54" s="7">
        <f t="shared" si="51"/>
        <v>0.55555555555555558</v>
      </c>
      <c r="AG54" s="7">
        <f t="shared" si="52"/>
        <v>2.4285714285714284</v>
      </c>
      <c r="AH54" s="7">
        <f t="shared" si="53"/>
        <v>0.44444444444444442</v>
      </c>
      <c r="AI54" s="7">
        <f t="shared" si="54"/>
        <v>0.69428571428571439</v>
      </c>
      <c r="AJ54" s="20">
        <f t="shared" si="55"/>
        <v>5.4642857142857144</v>
      </c>
    </row>
    <row r="55" spans="2:36" x14ac:dyDescent="0.3">
      <c r="B55" s="6">
        <v>27</v>
      </c>
      <c r="C55" s="8" t="s">
        <v>66</v>
      </c>
      <c r="D55" s="6" t="s">
        <v>132</v>
      </c>
      <c r="E55" s="10" t="s">
        <v>125</v>
      </c>
      <c r="F55" s="6">
        <v>189</v>
      </c>
      <c r="G55" s="15">
        <f>37+28+16</f>
        <v>81</v>
      </c>
      <c r="H55" s="6">
        <f>11+97</f>
        <v>108</v>
      </c>
      <c r="I55" s="6" t="s">
        <v>365</v>
      </c>
      <c r="J55" s="6" t="s">
        <v>283</v>
      </c>
      <c r="K55" s="28">
        <v>1.4</v>
      </c>
      <c r="L55" s="11"/>
      <c r="M55" s="12"/>
      <c r="N55" s="12"/>
      <c r="O55" s="12"/>
      <c r="P55" s="7">
        <v>67.900000000000006</v>
      </c>
      <c r="Q55" s="7">
        <v>74.099999999999994</v>
      </c>
      <c r="R55" s="7"/>
      <c r="S55" s="7"/>
      <c r="T55" s="7"/>
      <c r="U55" s="7"/>
      <c r="V55" s="7"/>
      <c r="W55" s="7">
        <v>0.77</v>
      </c>
      <c r="X55" s="7"/>
      <c r="Y55" s="17">
        <f t="shared" si="44"/>
        <v>54.999000000000002</v>
      </c>
      <c r="Z55" s="17">
        <f t="shared" si="45"/>
        <v>27.972000000000008</v>
      </c>
      <c r="AA55" s="17">
        <f t="shared" si="46"/>
        <v>26.000999999999998</v>
      </c>
      <c r="AB55" s="17">
        <f t="shared" si="47"/>
        <v>80.027999999999992</v>
      </c>
      <c r="AC55" s="7">
        <f t="shared" si="48"/>
        <v>0.67900000000000005</v>
      </c>
      <c r="AD55" s="7">
        <f t="shared" si="49"/>
        <v>0.74099999999999988</v>
      </c>
      <c r="AE55" s="7">
        <f t="shared" si="50"/>
        <v>0.66287015945330297</v>
      </c>
      <c r="AF55" s="7">
        <f t="shared" si="51"/>
        <v>0.7547746371275782</v>
      </c>
      <c r="AG55" s="7">
        <f t="shared" si="52"/>
        <v>2.6216216216216206</v>
      </c>
      <c r="AH55" s="7">
        <f t="shared" si="53"/>
        <v>0.4331983805668016</v>
      </c>
      <c r="AI55" s="7">
        <f t="shared" si="54"/>
        <v>0.71442857142857141</v>
      </c>
      <c r="AJ55" s="20">
        <f t="shared" si="55"/>
        <v>6.0517807527153309</v>
      </c>
    </row>
    <row r="56" spans="2:36" x14ac:dyDescent="0.3">
      <c r="B56" s="6">
        <v>28</v>
      </c>
      <c r="C56" s="8" t="s">
        <v>220</v>
      </c>
      <c r="D56" s="6" t="s">
        <v>18</v>
      </c>
      <c r="E56" s="10" t="s">
        <v>123</v>
      </c>
      <c r="F56" s="6">
        <v>116</v>
      </c>
      <c r="G56" s="15">
        <f>15+30</f>
        <v>45</v>
      </c>
      <c r="H56" s="6">
        <f>42+29</f>
        <v>71</v>
      </c>
      <c r="I56" s="6" t="s">
        <v>365</v>
      </c>
      <c r="J56" s="6" t="s">
        <v>283</v>
      </c>
      <c r="K56" s="28">
        <v>1</v>
      </c>
      <c r="L56" s="11"/>
      <c r="M56" s="12"/>
      <c r="N56" s="12"/>
      <c r="O56" s="12"/>
      <c r="P56" s="7">
        <v>67.400000000000006</v>
      </c>
      <c r="Q56" s="7">
        <v>81.400000000000006</v>
      </c>
      <c r="R56" s="7">
        <v>70.5</v>
      </c>
      <c r="S56" s="7">
        <v>79.2</v>
      </c>
      <c r="T56" s="7"/>
      <c r="U56" s="7"/>
      <c r="V56" s="7"/>
      <c r="W56" s="7">
        <v>0.75800000000000001</v>
      </c>
      <c r="X56" s="7"/>
      <c r="Y56" s="17">
        <f t="shared" si="44"/>
        <v>30.330000000000005</v>
      </c>
      <c r="Z56" s="17">
        <f t="shared" si="45"/>
        <v>13.205999999999996</v>
      </c>
      <c r="AA56" s="17">
        <f t="shared" si="46"/>
        <v>14.669999999999995</v>
      </c>
      <c r="AB56" s="17">
        <f t="shared" si="47"/>
        <v>57.794000000000004</v>
      </c>
      <c r="AC56" s="7">
        <f t="shared" si="48"/>
        <v>0.67400000000000015</v>
      </c>
      <c r="AD56" s="7">
        <f t="shared" si="49"/>
        <v>0.81400000000000006</v>
      </c>
      <c r="AE56" s="7">
        <f t="shared" si="50"/>
        <v>0.69666482910694605</v>
      </c>
      <c r="AF56" s="7">
        <f t="shared" si="51"/>
        <v>0.79755464782512708</v>
      </c>
      <c r="AG56" s="7">
        <f t="shared" si="52"/>
        <v>3.6236559139784967</v>
      </c>
      <c r="AH56" s="7">
        <f t="shared" si="53"/>
        <v>0.40049140049140025</v>
      </c>
      <c r="AI56" s="7">
        <f t="shared" si="54"/>
        <v>0.75968965517241382</v>
      </c>
      <c r="AJ56" s="20">
        <f t="shared" si="55"/>
        <v>9.048024276007661</v>
      </c>
    </row>
    <row r="57" spans="2:36" x14ac:dyDescent="0.3">
      <c r="B57" s="6">
        <v>29</v>
      </c>
      <c r="C57" s="8" t="s">
        <v>69</v>
      </c>
      <c r="D57" s="6" t="s">
        <v>18</v>
      </c>
      <c r="E57" s="10" t="s">
        <v>123</v>
      </c>
      <c r="F57" s="6">
        <v>220</v>
      </c>
      <c r="G57" s="15">
        <f>16+36+7</f>
        <v>59</v>
      </c>
      <c r="H57" s="6">
        <f>71+90</f>
        <v>161</v>
      </c>
      <c r="I57" s="6" t="s">
        <v>365</v>
      </c>
      <c r="J57" s="6" t="s">
        <v>283</v>
      </c>
      <c r="K57" s="28">
        <v>0.66</v>
      </c>
      <c r="L57" s="11"/>
      <c r="M57" s="12"/>
      <c r="N57" s="12"/>
      <c r="O57" s="12"/>
      <c r="P57" s="7">
        <v>59.3</v>
      </c>
      <c r="Q57" s="7">
        <v>75.2</v>
      </c>
      <c r="R57" s="7">
        <v>46.7</v>
      </c>
      <c r="S57" s="7">
        <v>83.4</v>
      </c>
      <c r="T57" s="7"/>
      <c r="U57" s="7"/>
      <c r="V57" s="7"/>
      <c r="W57" s="7">
        <v>0.71</v>
      </c>
      <c r="X57" s="7" t="s">
        <v>171</v>
      </c>
      <c r="Y57" s="17">
        <f t="shared" si="44"/>
        <v>34.986999999999995</v>
      </c>
      <c r="Z57" s="17">
        <f t="shared" si="45"/>
        <v>39.927999999999997</v>
      </c>
      <c r="AA57" s="17">
        <f t="shared" si="46"/>
        <v>24.013000000000005</v>
      </c>
      <c r="AB57" s="17">
        <f t="shared" si="47"/>
        <v>121.072</v>
      </c>
      <c r="AC57" s="7">
        <f t="shared" si="48"/>
        <v>0.59299999999999986</v>
      </c>
      <c r="AD57" s="7">
        <f t="shared" si="49"/>
        <v>0.752</v>
      </c>
      <c r="AE57" s="7">
        <f t="shared" si="50"/>
        <v>0.46702262564239472</v>
      </c>
      <c r="AF57" s="7">
        <f t="shared" si="51"/>
        <v>0.83449012647758203</v>
      </c>
      <c r="AG57" s="7">
        <f t="shared" si="52"/>
        <v>2.3911290322580641</v>
      </c>
      <c r="AH57" s="7">
        <f t="shared" si="53"/>
        <v>0.54122340425531934</v>
      </c>
      <c r="AI57" s="7">
        <f t="shared" si="54"/>
        <v>0.70935909090909088</v>
      </c>
      <c r="AJ57" s="20">
        <f t="shared" si="55"/>
        <v>4.418007450265514</v>
      </c>
    </row>
    <row r="58" spans="2:36" x14ac:dyDescent="0.3">
      <c r="B58" s="6">
        <v>30</v>
      </c>
      <c r="C58" s="8" t="s">
        <v>221</v>
      </c>
      <c r="D58" s="6" t="s">
        <v>131</v>
      </c>
      <c r="E58" s="10"/>
      <c r="F58" s="6" t="s">
        <v>283</v>
      </c>
      <c r="G58" s="15" t="s">
        <v>283</v>
      </c>
      <c r="H58" s="6" t="s">
        <v>283</v>
      </c>
      <c r="I58" s="6" t="s">
        <v>283</v>
      </c>
      <c r="J58" s="6" t="s">
        <v>283</v>
      </c>
      <c r="K58" s="28" t="s">
        <v>283</v>
      </c>
      <c r="L58" s="31" t="s">
        <v>283</v>
      </c>
      <c r="M58" s="16" t="s">
        <v>283</v>
      </c>
      <c r="N58" s="16" t="s">
        <v>283</v>
      </c>
      <c r="O58" s="16" t="s">
        <v>283</v>
      </c>
      <c r="P58" s="6" t="s">
        <v>283</v>
      </c>
      <c r="Q58" s="6" t="s">
        <v>283</v>
      </c>
      <c r="R58" s="6" t="s">
        <v>283</v>
      </c>
      <c r="S58" s="6" t="s">
        <v>283</v>
      </c>
      <c r="T58" s="6" t="s">
        <v>283</v>
      </c>
      <c r="U58" s="6" t="s">
        <v>283</v>
      </c>
      <c r="V58" s="6" t="s">
        <v>283</v>
      </c>
      <c r="W58" s="6" t="s">
        <v>283</v>
      </c>
      <c r="X58" s="6" t="s">
        <v>283</v>
      </c>
      <c r="Y58" s="36" t="s">
        <v>283</v>
      </c>
      <c r="Z58" s="36" t="s">
        <v>283</v>
      </c>
      <c r="AA58" s="36" t="s">
        <v>283</v>
      </c>
      <c r="AB58" s="36" t="s">
        <v>283</v>
      </c>
      <c r="AC58" s="6" t="s">
        <v>283</v>
      </c>
      <c r="AD58" s="6" t="s">
        <v>283</v>
      </c>
      <c r="AE58" s="6" t="s">
        <v>283</v>
      </c>
      <c r="AF58" s="6" t="s">
        <v>283</v>
      </c>
      <c r="AG58" s="6" t="s">
        <v>283</v>
      </c>
      <c r="AH58" s="6" t="s">
        <v>283</v>
      </c>
      <c r="AI58" s="6" t="s">
        <v>283</v>
      </c>
      <c r="AJ58" s="21" t="s">
        <v>283</v>
      </c>
    </row>
    <row r="59" spans="2:36" x14ac:dyDescent="0.3">
      <c r="B59" s="6"/>
      <c r="C59" s="8"/>
      <c r="D59" s="6" t="s">
        <v>132</v>
      </c>
      <c r="E59" s="10" t="s">
        <v>33</v>
      </c>
      <c r="F59" s="6">
        <v>90</v>
      </c>
      <c r="G59" s="6" t="s">
        <v>283</v>
      </c>
      <c r="H59" s="6" t="s">
        <v>283</v>
      </c>
      <c r="I59" s="6" t="s">
        <v>365</v>
      </c>
      <c r="J59" s="6" t="s">
        <v>283</v>
      </c>
      <c r="K59" s="28" t="s">
        <v>283</v>
      </c>
      <c r="L59" s="31" t="s">
        <v>283</v>
      </c>
      <c r="M59" s="31" t="s">
        <v>283</v>
      </c>
      <c r="N59" s="31" t="s">
        <v>283</v>
      </c>
      <c r="O59" s="31" t="s">
        <v>283</v>
      </c>
      <c r="P59" s="6" t="s">
        <v>283</v>
      </c>
      <c r="Q59" s="6" t="s">
        <v>283</v>
      </c>
      <c r="R59" s="6" t="s">
        <v>283</v>
      </c>
      <c r="S59" s="6" t="s">
        <v>283</v>
      </c>
      <c r="T59" s="6" t="s">
        <v>283</v>
      </c>
      <c r="U59" s="6" t="s">
        <v>283</v>
      </c>
      <c r="V59" s="6" t="s">
        <v>283</v>
      </c>
      <c r="W59" s="6" t="s">
        <v>283</v>
      </c>
      <c r="X59" s="6" t="s">
        <v>283</v>
      </c>
      <c r="Y59" s="16" t="s">
        <v>283</v>
      </c>
      <c r="Z59" s="16" t="s">
        <v>283</v>
      </c>
      <c r="AA59" s="16" t="s">
        <v>283</v>
      </c>
      <c r="AB59" s="16" t="s">
        <v>283</v>
      </c>
      <c r="AC59" s="6" t="s">
        <v>283</v>
      </c>
      <c r="AD59" s="6" t="s">
        <v>283</v>
      </c>
      <c r="AE59" s="6" t="s">
        <v>283</v>
      </c>
      <c r="AF59" s="6" t="s">
        <v>283</v>
      </c>
      <c r="AG59" s="6" t="s">
        <v>283</v>
      </c>
      <c r="AH59" s="6" t="s">
        <v>283</v>
      </c>
      <c r="AI59" s="6" t="s">
        <v>283</v>
      </c>
      <c r="AJ59" s="6" t="s">
        <v>283</v>
      </c>
    </row>
    <row r="60" spans="2:36" x14ac:dyDescent="0.3">
      <c r="B60" s="6"/>
      <c r="C60" s="8"/>
      <c r="D60" s="6" t="s">
        <v>130</v>
      </c>
      <c r="E60" s="10" t="s">
        <v>6</v>
      </c>
      <c r="F60" s="6">
        <v>108</v>
      </c>
      <c r="G60" s="6" t="s">
        <v>283</v>
      </c>
      <c r="H60" s="6" t="s">
        <v>283</v>
      </c>
      <c r="I60" s="6" t="s">
        <v>365</v>
      </c>
      <c r="J60" s="6" t="s">
        <v>283</v>
      </c>
      <c r="K60" s="28" t="s">
        <v>283</v>
      </c>
      <c r="L60" s="31" t="s">
        <v>283</v>
      </c>
      <c r="M60" s="31" t="s">
        <v>283</v>
      </c>
      <c r="N60" s="31" t="s">
        <v>283</v>
      </c>
      <c r="O60" s="31" t="s">
        <v>283</v>
      </c>
      <c r="P60" s="6" t="s">
        <v>283</v>
      </c>
      <c r="Q60" s="6" t="s">
        <v>283</v>
      </c>
      <c r="R60" s="6" t="s">
        <v>283</v>
      </c>
      <c r="S60" s="6" t="s">
        <v>283</v>
      </c>
      <c r="T60" s="6" t="s">
        <v>283</v>
      </c>
      <c r="U60" s="6" t="s">
        <v>283</v>
      </c>
      <c r="V60" s="6" t="s">
        <v>283</v>
      </c>
      <c r="W60" s="6" t="s">
        <v>283</v>
      </c>
      <c r="X60" s="6" t="s">
        <v>283</v>
      </c>
      <c r="Y60" s="16" t="s">
        <v>283</v>
      </c>
      <c r="Z60" s="16" t="s">
        <v>283</v>
      </c>
      <c r="AA60" s="16" t="s">
        <v>283</v>
      </c>
      <c r="AB60" s="16" t="s">
        <v>283</v>
      </c>
      <c r="AC60" s="6" t="s">
        <v>283</v>
      </c>
      <c r="AD60" s="6" t="s">
        <v>283</v>
      </c>
      <c r="AE60" s="6" t="s">
        <v>283</v>
      </c>
      <c r="AF60" s="6" t="s">
        <v>283</v>
      </c>
      <c r="AG60" s="6" t="s">
        <v>283</v>
      </c>
      <c r="AH60" s="6" t="s">
        <v>283</v>
      </c>
      <c r="AI60" s="6" t="s">
        <v>283</v>
      </c>
      <c r="AJ60" s="6" t="s">
        <v>283</v>
      </c>
    </row>
    <row r="61" spans="2:36" x14ac:dyDescent="0.3">
      <c r="B61" s="6">
        <v>31</v>
      </c>
      <c r="C61" s="8" t="s">
        <v>74</v>
      </c>
      <c r="D61" s="6" t="s">
        <v>130</v>
      </c>
      <c r="E61" s="10" t="s">
        <v>379</v>
      </c>
      <c r="F61" s="6">
        <v>210</v>
      </c>
      <c r="G61" s="6" t="s">
        <v>283</v>
      </c>
      <c r="H61" s="6" t="s">
        <v>283</v>
      </c>
      <c r="I61" s="6" t="s">
        <v>365</v>
      </c>
      <c r="J61" s="6" t="s">
        <v>283</v>
      </c>
      <c r="K61" s="28" t="s">
        <v>283</v>
      </c>
      <c r="L61" s="31" t="s">
        <v>283</v>
      </c>
      <c r="M61" s="31" t="s">
        <v>283</v>
      </c>
      <c r="N61" s="31" t="s">
        <v>283</v>
      </c>
      <c r="O61" s="31" t="s">
        <v>283</v>
      </c>
      <c r="P61" s="6" t="s">
        <v>283</v>
      </c>
      <c r="Q61" s="6" t="s">
        <v>283</v>
      </c>
      <c r="R61" s="6" t="s">
        <v>283</v>
      </c>
      <c r="S61" s="6" t="s">
        <v>283</v>
      </c>
      <c r="T61" s="6" t="s">
        <v>283</v>
      </c>
      <c r="U61" s="6" t="s">
        <v>283</v>
      </c>
      <c r="V61" s="6" t="s">
        <v>283</v>
      </c>
      <c r="W61" s="6" t="s">
        <v>283</v>
      </c>
      <c r="X61" s="6" t="s">
        <v>283</v>
      </c>
      <c r="Y61" s="16" t="s">
        <v>283</v>
      </c>
      <c r="Z61" s="16" t="s">
        <v>283</v>
      </c>
      <c r="AA61" s="16" t="s">
        <v>283</v>
      </c>
      <c r="AB61" s="16" t="s">
        <v>283</v>
      </c>
      <c r="AC61" s="6" t="s">
        <v>283</v>
      </c>
      <c r="AD61" s="6" t="s">
        <v>283</v>
      </c>
      <c r="AE61" s="6" t="s">
        <v>283</v>
      </c>
      <c r="AF61" s="6" t="s">
        <v>283</v>
      </c>
      <c r="AG61" s="6" t="s">
        <v>283</v>
      </c>
      <c r="AH61" s="6" t="s">
        <v>283</v>
      </c>
      <c r="AI61" s="6" t="s">
        <v>283</v>
      </c>
      <c r="AJ61" s="6" t="s">
        <v>283</v>
      </c>
    </row>
    <row r="62" spans="2:36" x14ac:dyDescent="0.3">
      <c r="B62" s="6"/>
      <c r="C62" s="8"/>
      <c r="D62" s="6"/>
      <c r="E62" s="10" t="s">
        <v>380</v>
      </c>
      <c r="F62" s="6">
        <v>176</v>
      </c>
      <c r="G62" s="6" t="s">
        <v>283</v>
      </c>
      <c r="H62" s="6" t="s">
        <v>283</v>
      </c>
      <c r="I62" s="6" t="s">
        <v>365</v>
      </c>
      <c r="J62" s="6" t="s">
        <v>283</v>
      </c>
      <c r="K62" s="28" t="s">
        <v>283</v>
      </c>
      <c r="L62" s="31" t="s">
        <v>283</v>
      </c>
      <c r="M62" s="31" t="s">
        <v>283</v>
      </c>
      <c r="N62" s="31" t="s">
        <v>283</v>
      </c>
      <c r="O62" s="31" t="s">
        <v>283</v>
      </c>
      <c r="P62" s="6" t="s">
        <v>283</v>
      </c>
      <c r="Q62" s="6" t="s">
        <v>283</v>
      </c>
      <c r="R62" s="6" t="s">
        <v>283</v>
      </c>
      <c r="S62" s="6" t="s">
        <v>283</v>
      </c>
      <c r="T62" s="6" t="s">
        <v>283</v>
      </c>
      <c r="U62" s="6" t="s">
        <v>283</v>
      </c>
      <c r="V62" s="6" t="s">
        <v>283</v>
      </c>
      <c r="W62" s="6" t="s">
        <v>283</v>
      </c>
      <c r="X62" s="6" t="s">
        <v>283</v>
      </c>
      <c r="Y62" s="16" t="s">
        <v>283</v>
      </c>
      <c r="Z62" s="16" t="s">
        <v>283</v>
      </c>
      <c r="AA62" s="16" t="s">
        <v>283</v>
      </c>
      <c r="AB62" s="16" t="s">
        <v>283</v>
      </c>
      <c r="AC62" s="6" t="s">
        <v>283</v>
      </c>
      <c r="AD62" s="6" t="s">
        <v>283</v>
      </c>
      <c r="AE62" s="6" t="s">
        <v>283</v>
      </c>
      <c r="AF62" s="6" t="s">
        <v>283</v>
      </c>
      <c r="AG62" s="6" t="s">
        <v>283</v>
      </c>
      <c r="AH62" s="6" t="s">
        <v>283</v>
      </c>
      <c r="AI62" s="6" t="s">
        <v>283</v>
      </c>
      <c r="AJ62" s="6" t="s">
        <v>283</v>
      </c>
    </row>
    <row r="63" spans="2:36" x14ac:dyDescent="0.3">
      <c r="B63" s="6">
        <v>32</v>
      </c>
      <c r="C63" s="8" t="s">
        <v>76</v>
      </c>
      <c r="D63" s="6" t="s">
        <v>132</v>
      </c>
      <c r="E63" s="10" t="s">
        <v>125</v>
      </c>
      <c r="F63" s="6">
        <v>70</v>
      </c>
      <c r="G63" s="15">
        <f>17+13+6</f>
        <v>36</v>
      </c>
      <c r="H63" s="6">
        <f>9+25</f>
        <v>34</v>
      </c>
      <c r="I63" s="6" t="s">
        <v>365</v>
      </c>
      <c r="J63" s="6" t="s">
        <v>283</v>
      </c>
      <c r="K63" s="28">
        <v>0.81</v>
      </c>
      <c r="L63" s="11"/>
      <c r="M63" s="12"/>
      <c r="N63" s="12"/>
      <c r="O63" s="12"/>
      <c r="P63" s="7">
        <v>50</v>
      </c>
      <c r="Q63" s="7">
        <v>48.9</v>
      </c>
      <c r="R63" s="7">
        <v>69.7</v>
      </c>
      <c r="S63" s="7">
        <v>29.4</v>
      </c>
      <c r="T63" s="7"/>
      <c r="U63" s="7"/>
      <c r="V63" s="7">
        <v>49.3</v>
      </c>
      <c r="W63" s="7">
        <v>0.71699999999999997</v>
      </c>
      <c r="X63" s="7"/>
      <c r="Y63" s="17">
        <f>$G63*$P63/100</f>
        <v>18</v>
      </c>
      <c r="Z63" s="17">
        <f>$H63-$AB63</f>
        <v>17.374000000000002</v>
      </c>
      <c r="AA63" s="17">
        <f>$G63-$Y63</f>
        <v>18</v>
      </c>
      <c r="AB63" s="17">
        <f>H63*Q63/100</f>
        <v>16.625999999999998</v>
      </c>
      <c r="AC63" s="7">
        <f t="shared" ref="AC63" si="60">$Y63/($Y63+$AA63)</f>
        <v>0.5</v>
      </c>
      <c r="AD63" s="7">
        <f t="shared" ref="AD63" si="61">$AB63/($Z63+$AB63)</f>
        <v>0.48899999999999993</v>
      </c>
      <c r="AE63" s="7">
        <f t="shared" ref="AE63" si="62">$Y63/(Y63+$Z63)</f>
        <v>0.50884830666591274</v>
      </c>
      <c r="AF63" s="7">
        <f t="shared" ref="AF63" si="63">$AB63/($AA63+$AB63)</f>
        <v>0.48015941777854787</v>
      </c>
      <c r="AG63" s="7">
        <f t="shared" ref="AG63" si="64">$AC63/(1-$AD63)</f>
        <v>0.97847358121330696</v>
      </c>
      <c r="AH63" s="7">
        <f t="shared" ref="AH63" si="65">(1-$AC63)/$AD63</f>
        <v>1.0224948875255626</v>
      </c>
      <c r="AI63" s="7">
        <f t="shared" ref="AI63" si="66">(Y63+AB63)/(Y63+Z63+AA63+AB63)</f>
        <v>0.49465714285714285</v>
      </c>
      <c r="AJ63" s="20">
        <f t="shared" ref="AJ63" si="67">($Y63*$AB63)/($Z63*$AA63)</f>
        <v>0.95694716242661426</v>
      </c>
    </row>
    <row r="64" spans="2:36" x14ac:dyDescent="0.3">
      <c r="B64" s="6">
        <v>33</v>
      </c>
      <c r="C64" s="8" t="s">
        <v>79</v>
      </c>
      <c r="D64" s="6" t="s">
        <v>131</v>
      </c>
      <c r="E64" s="10" t="s">
        <v>191</v>
      </c>
      <c r="F64" s="6">
        <v>64</v>
      </c>
      <c r="G64" s="6" t="s">
        <v>283</v>
      </c>
      <c r="H64" s="6" t="s">
        <v>283</v>
      </c>
      <c r="I64" s="6" t="s">
        <v>283</v>
      </c>
      <c r="J64" s="6" t="s">
        <v>283</v>
      </c>
      <c r="K64" s="28" t="s">
        <v>283</v>
      </c>
      <c r="L64" s="31" t="s">
        <v>283</v>
      </c>
      <c r="M64" s="31" t="s">
        <v>283</v>
      </c>
      <c r="N64" s="31" t="s">
        <v>283</v>
      </c>
      <c r="O64" s="31" t="s">
        <v>283</v>
      </c>
      <c r="P64" s="6" t="s">
        <v>283</v>
      </c>
      <c r="Q64" s="6" t="s">
        <v>283</v>
      </c>
      <c r="R64" s="6" t="s">
        <v>283</v>
      </c>
      <c r="S64" s="6" t="s">
        <v>283</v>
      </c>
      <c r="T64" s="6" t="s">
        <v>283</v>
      </c>
      <c r="U64" s="6" t="s">
        <v>283</v>
      </c>
      <c r="V64" s="6" t="s">
        <v>283</v>
      </c>
      <c r="W64" s="6" t="s">
        <v>283</v>
      </c>
      <c r="X64" s="6" t="s">
        <v>283</v>
      </c>
      <c r="Y64" s="16" t="s">
        <v>283</v>
      </c>
      <c r="Z64" s="16" t="s">
        <v>283</v>
      </c>
      <c r="AA64" s="16" t="s">
        <v>283</v>
      </c>
      <c r="AB64" s="16" t="s">
        <v>283</v>
      </c>
      <c r="AC64" s="6" t="s">
        <v>283</v>
      </c>
      <c r="AD64" s="6" t="s">
        <v>283</v>
      </c>
      <c r="AE64" s="6" t="s">
        <v>283</v>
      </c>
      <c r="AF64" s="6" t="s">
        <v>283</v>
      </c>
      <c r="AG64" s="6" t="s">
        <v>283</v>
      </c>
      <c r="AH64" s="6" t="s">
        <v>283</v>
      </c>
      <c r="AI64" s="6" t="s">
        <v>283</v>
      </c>
      <c r="AJ64" s="6" t="s">
        <v>283</v>
      </c>
    </row>
    <row r="65" spans="2:36" x14ac:dyDescent="0.3">
      <c r="B65" s="6">
        <v>34</v>
      </c>
      <c r="C65" s="8" t="s">
        <v>81</v>
      </c>
      <c r="D65" s="6" t="s">
        <v>130</v>
      </c>
      <c r="E65" s="10" t="s">
        <v>120</v>
      </c>
      <c r="F65" s="6">
        <v>593</v>
      </c>
      <c r="G65" s="15">
        <f>144+103+54</f>
        <v>301</v>
      </c>
      <c r="H65" s="6">
        <f>8+284</f>
        <v>292</v>
      </c>
      <c r="I65" s="6" t="s">
        <v>365</v>
      </c>
      <c r="J65" s="6" t="s">
        <v>283</v>
      </c>
      <c r="K65" s="28">
        <v>1.2</v>
      </c>
      <c r="L65" s="11"/>
      <c r="M65" s="12"/>
      <c r="N65" s="12"/>
      <c r="O65" s="12"/>
      <c r="P65" s="7">
        <v>83</v>
      </c>
      <c r="Q65" s="7">
        <v>62</v>
      </c>
      <c r="R65" s="7">
        <v>69</v>
      </c>
      <c r="S65" s="7">
        <v>78</v>
      </c>
      <c r="T65" s="7"/>
      <c r="U65" s="7"/>
      <c r="V65" s="7"/>
      <c r="W65" s="7">
        <v>0.81</v>
      </c>
      <c r="X65" s="7" t="s">
        <v>173</v>
      </c>
      <c r="Y65" s="17">
        <f>$G65*$P65/100</f>
        <v>249.83</v>
      </c>
      <c r="Z65" s="17">
        <f>$H65-$AB65</f>
        <v>110.96000000000001</v>
      </c>
      <c r="AA65" s="17">
        <f>$G65-$Y65</f>
        <v>51.169999999999987</v>
      </c>
      <c r="AB65" s="17">
        <f>H65*Q65/100</f>
        <v>181.04</v>
      </c>
      <c r="AC65" s="7">
        <f t="shared" ref="AC65:AC71" si="68">$Y65/($Y65+$AA65)</f>
        <v>0.83000000000000007</v>
      </c>
      <c r="AD65" s="7">
        <f t="shared" ref="AD65:AD71" si="69">$AB65/($Z65+$AB65)</f>
        <v>0.62</v>
      </c>
      <c r="AE65" s="7">
        <f t="shared" ref="AE65:AE68" si="70">$Y65/(Y65+$Z65)</f>
        <v>0.69245267330025773</v>
      </c>
      <c r="AF65" s="7">
        <f t="shared" ref="AF65:AF71" si="71">$AB65/($AA65+$AB65)</f>
        <v>0.77963911976228417</v>
      </c>
      <c r="AG65" s="7">
        <f t="shared" ref="AG65:AG71" si="72">$AC65/(1-$AD65)</f>
        <v>2.1842105263157898</v>
      </c>
      <c r="AH65" s="7">
        <f t="shared" ref="AH65:AH71" si="73">(1-$AC65)/$AD65</f>
        <v>0.27419354838709664</v>
      </c>
      <c r="AI65" s="7">
        <f t="shared" ref="AI65:AI68" si="74">(Y65+AB65)/(Y65+Z65+AA65+AB65)</f>
        <v>0.72659359190556494</v>
      </c>
      <c r="AJ65" s="20">
        <f t="shared" ref="AJ65:AJ71" si="75">($Y65*$AB65)/($Z65*$AA65)</f>
        <v>7.9659442724458218</v>
      </c>
    </row>
    <row r="66" spans="2:36" x14ac:dyDescent="0.3">
      <c r="B66" s="6">
        <v>35</v>
      </c>
      <c r="C66" s="8" t="s">
        <v>82</v>
      </c>
      <c r="D66" s="6" t="s">
        <v>132</v>
      </c>
      <c r="E66" s="10" t="s">
        <v>381</v>
      </c>
      <c r="F66" s="6">
        <v>221</v>
      </c>
      <c r="G66" s="15">
        <f>42+23+24</f>
        <v>89</v>
      </c>
      <c r="H66" s="6">
        <f>35+97</f>
        <v>132</v>
      </c>
      <c r="I66" s="6" t="s">
        <v>365</v>
      </c>
      <c r="J66" s="6" t="s">
        <v>283</v>
      </c>
      <c r="K66" s="28">
        <v>1.06</v>
      </c>
      <c r="L66" s="11"/>
      <c r="M66" s="12"/>
      <c r="N66" s="12"/>
      <c r="O66" s="12"/>
      <c r="P66" s="7">
        <v>60.5</v>
      </c>
      <c r="Q66" s="7">
        <v>79.8</v>
      </c>
      <c r="R66" s="7">
        <v>68.099999999999994</v>
      </c>
      <c r="S66" s="7">
        <v>74</v>
      </c>
      <c r="T66" s="7"/>
      <c r="U66" s="7"/>
      <c r="V66" s="7"/>
      <c r="W66" s="7">
        <v>0.753</v>
      </c>
      <c r="X66" s="7" t="s">
        <v>176</v>
      </c>
      <c r="Y66" s="17">
        <f>$G66*$P66/100</f>
        <v>53.844999999999999</v>
      </c>
      <c r="Z66" s="17">
        <f>$H66-$AB66</f>
        <v>26.664000000000001</v>
      </c>
      <c r="AA66" s="17">
        <f>$G66-$Y66</f>
        <v>35.155000000000001</v>
      </c>
      <c r="AB66" s="17">
        <f>H66*Q66/100</f>
        <v>105.336</v>
      </c>
      <c r="AC66" s="7">
        <f t="shared" si="68"/>
        <v>0.60499999999999998</v>
      </c>
      <c r="AD66" s="7">
        <f t="shared" si="69"/>
        <v>0.79800000000000004</v>
      </c>
      <c r="AE66" s="7">
        <f t="shared" si="70"/>
        <v>0.66880721410028687</v>
      </c>
      <c r="AF66" s="7">
        <f t="shared" si="71"/>
        <v>0.7497704479290489</v>
      </c>
      <c r="AG66" s="7">
        <f t="shared" si="72"/>
        <v>2.9950495049504955</v>
      </c>
      <c r="AH66" s="7">
        <f t="shared" si="73"/>
        <v>0.4949874686716792</v>
      </c>
      <c r="AI66" s="7">
        <f t="shared" si="74"/>
        <v>0.72027601809954744</v>
      </c>
      <c r="AJ66" s="20">
        <f t="shared" si="75"/>
        <v>6.0507582403809996</v>
      </c>
    </row>
    <row r="67" spans="2:36" x14ac:dyDescent="0.3">
      <c r="B67" s="6"/>
      <c r="C67" s="8"/>
      <c r="D67" s="6"/>
      <c r="E67" s="10" t="s">
        <v>382</v>
      </c>
      <c r="F67" s="6">
        <v>76</v>
      </c>
      <c r="G67" s="15">
        <f>17+10+10</f>
        <v>37</v>
      </c>
      <c r="H67" s="6">
        <f>10+29</f>
        <v>39</v>
      </c>
      <c r="I67" s="6" t="s">
        <v>365</v>
      </c>
      <c r="J67" s="6" t="s">
        <v>283</v>
      </c>
      <c r="K67" s="28">
        <v>1.06</v>
      </c>
      <c r="L67" s="11"/>
      <c r="M67" s="12"/>
      <c r="N67" s="12"/>
      <c r="O67" s="12"/>
      <c r="P67" s="7">
        <v>59.5</v>
      </c>
      <c r="Q67" s="7">
        <v>82.1</v>
      </c>
      <c r="R67" s="7"/>
      <c r="S67" s="7"/>
      <c r="T67" s="7"/>
      <c r="U67" s="7"/>
      <c r="V67" s="7"/>
      <c r="W67" s="7"/>
      <c r="X67" s="7"/>
      <c r="Y67" s="17">
        <f>$G67*$P67/100</f>
        <v>22.015000000000001</v>
      </c>
      <c r="Z67" s="17">
        <f>$H67-$AB67</f>
        <v>6.9810000000000016</v>
      </c>
      <c r="AA67" s="17">
        <f>$G67-$Y67</f>
        <v>14.984999999999999</v>
      </c>
      <c r="AB67" s="17">
        <f>H67*Q67/100</f>
        <v>32.018999999999998</v>
      </c>
      <c r="AC67" s="7">
        <f t="shared" si="68"/>
        <v>0.59499999999999997</v>
      </c>
      <c r="AD67" s="7">
        <f t="shared" si="69"/>
        <v>0.82099999999999995</v>
      </c>
      <c r="AE67" s="7">
        <f t="shared" si="70"/>
        <v>0.75924265415919434</v>
      </c>
      <c r="AF67" s="7">
        <f t="shared" si="71"/>
        <v>0.68119734490681649</v>
      </c>
      <c r="AG67" s="7">
        <f t="shared" si="72"/>
        <v>3.324022346368714</v>
      </c>
      <c r="AH67" s="7">
        <f t="shared" si="73"/>
        <v>0.49330085261875767</v>
      </c>
      <c r="AI67" s="7">
        <f t="shared" si="74"/>
        <v>0.71097368421052631</v>
      </c>
      <c r="AJ67" s="20">
        <f t="shared" si="75"/>
        <v>6.73832678115732</v>
      </c>
    </row>
    <row r="68" spans="2:36" x14ac:dyDescent="0.3">
      <c r="B68" s="6">
        <v>36</v>
      </c>
      <c r="C68" s="8" t="s">
        <v>83</v>
      </c>
      <c r="D68" s="6" t="s">
        <v>132</v>
      </c>
      <c r="E68" s="10" t="s">
        <v>125</v>
      </c>
      <c r="F68" s="6">
        <v>95</v>
      </c>
      <c r="G68" s="15">
        <f>29+10+40</f>
        <v>79</v>
      </c>
      <c r="H68" s="6">
        <v>16</v>
      </c>
      <c r="I68" s="6" t="s">
        <v>365</v>
      </c>
      <c r="J68" s="6" t="s">
        <v>283</v>
      </c>
      <c r="K68" s="28">
        <v>0.8</v>
      </c>
      <c r="L68" s="11"/>
      <c r="M68" s="12"/>
      <c r="N68" s="12"/>
      <c r="O68" s="12"/>
      <c r="P68" s="7">
        <v>87.3</v>
      </c>
      <c r="Q68" s="7">
        <v>43.8</v>
      </c>
      <c r="R68" s="7">
        <v>80</v>
      </c>
      <c r="S68" s="7">
        <v>41.2</v>
      </c>
      <c r="T68" s="7"/>
      <c r="U68" s="7"/>
      <c r="V68" s="7"/>
      <c r="W68" s="7">
        <v>0.68799999999999994</v>
      </c>
      <c r="X68" s="7" t="s">
        <v>177</v>
      </c>
      <c r="Y68" s="17">
        <f>$G68*$P68/100</f>
        <v>68.966999999999999</v>
      </c>
      <c r="Z68" s="17">
        <f>$H68-$AB68</f>
        <v>8.9920000000000009</v>
      </c>
      <c r="AA68" s="17">
        <f>$G68-$Y68</f>
        <v>10.033000000000001</v>
      </c>
      <c r="AB68" s="17">
        <f>H68*Q68/100</f>
        <v>7.0079999999999991</v>
      </c>
      <c r="AC68" s="7">
        <f t="shared" si="68"/>
        <v>0.873</v>
      </c>
      <c r="AD68" s="7">
        <f t="shared" si="69"/>
        <v>0.43799999999999994</v>
      </c>
      <c r="AE68" s="7">
        <f t="shared" si="70"/>
        <v>0.88465731987326668</v>
      </c>
      <c r="AF68" s="7">
        <f t="shared" si="71"/>
        <v>0.41124347162725189</v>
      </c>
      <c r="AG68" s="7">
        <f t="shared" si="72"/>
        <v>1.5533807829181494</v>
      </c>
      <c r="AH68" s="7">
        <f t="shared" si="73"/>
        <v>0.28995433789954345</v>
      </c>
      <c r="AI68" s="7">
        <f t="shared" si="74"/>
        <v>0.79973684210526308</v>
      </c>
      <c r="AJ68" s="20">
        <f t="shared" si="75"/>
        <v>5.3573289993555058</v>
      </c>
    </row>
    <row r="69" spans="2:36" x14ac:dyDescent="0.3">
      <c r="B69" s="6"/>
      <c r="C69" s="8"/>
      <c r="D69" s="6"/>
      <c r="E69" s="10"/>
      <c r="F69" s="6">
        <v>95</v>
      </c>
      <c r="G69" s="15">
        <f>29+10+40</f>
        <v>79</v>
      </c>
      <c r="H69" s="6">
        <v>16</v>
      </c>
      <c r="I69" s="6" t="s">
        <v>283</v>
      </c>
      <c r="J69" s="6" t="s">
        <v>228</v>
      </c>
      <c r="K69" s="28" t="s">
        <v>383</v>
      </c>
      <c r="L69" s="11"/>
      <c r="M69" s="12"/>
      <c r="N69" s="12"/>
      <c r="O69" s="12"/>
      <c r="P69" s="7">
        <v>70.900000000000006</v>
      </c>
      <c r="Q69" s="7">
        <v>87.5</v>
      </c>
      <c r="R69" s="7">
        <v>96.6</v>
      </c>
      <c r="S69" s="7">
        <v>37.799999999999997</v>
      </c>
      <c r="T69" s="7"/>
      <c r="U69" s="7"/>
      <c r="V69" s="7"/>
      <c r="W69" s="7">
        <v>0.82299999999999995</v>
      </c>
      <c r="X69" s="7" t="s">
        <v>256</v>
      </c>
      <c r="Y69" s="17">
        <f>$G69*$P69/100</f>
        <v>56.011000000000003</v>
      </c>
      <c r="Z69" s="17">
        <f>$H69-$AB69</f>
        <v>2</v>
      </c>
      <c r="AA69" s="17">
        <f>$G69-$Y69</f>
        <v>22.988999999999997</v>
      </c>
      <c r="AB69" s="17">
        <f>H69*Q69/100</f>
        <v>14</v>
      </c>
      <c r="AC69" s="7">
        <f t="shared" si="68"/>
        <v>0.70900000000000007</v>
      </c>
      <c r="AD69" s="7">
        <f t="shared" si="69"/>
        <v>0.875</v>
      </c>
      <c r="AE69" s="7">
        <f t="shared" ref="AE69" si="76">$Y69/(Y69+$Z69)</f>
        <v>0.96552377997276384</v>
      </c>
      <c r="AF69" s="7">
        <f t="shared" si="71"/>
        <v>0.37849090270080299</v>
      </c>
      <c r="AG69" s="7">
        <f t="shared" si="72"/>
        <v>5.6720000000000006</v>
      </c>
      <c r="AH69" s="7">
        <f t="shared" si="73"/>
        <v>0.33257142857142846</v>
      </c>
      <c r="AI69" s="7">
        <f t="shared" ref="AI69" si="77">(Y69+AB69)/(Y69+Z69+AA69+AB69)</f>
        <v>0.73695789473684203</v>
      </c>
      <c r="AJ69" s="20">
        <f t="shared" si="75"/>
        <v>17.054982817869419</v>
      </c>
    </row>
    <row r="70" spans="2:36" x14ac:dyDescent="0.3">
      <c r="B70" s="6">
        <v>37</v>
      </c>
      <c r="C70" s="8" t="s">
        <v>85</v>
      </c>
      <c r="D70" s="6" t="s">
        <v>131</v>
      </c>
      <c r="E70" s="10" t="s">
        <v>128</v>
      </c>
      <c r="F70" s="6">
        <v>57</v>
      </c>
      <c r="G70" s="6" t="s">
        <v>283</v>
      </c>
      <c r="H70" s="6" t="s">
        <v>283</v>
      </c>
      <c r="I70" s="6" t="s">
        <v>365</v>
      </c>
      <c r="J70" s="6" t="s">
        <v>283</v>
      </c>
      <c r="K70" s="28" t="s">
        <v>283</v>
      </c>
      <c r="L70" s="31" t="s">
        <v>283</v>
      </c>
      <c r="M70" s="16" t="s">
        <v>283</v>
      </c>
      <c r="N70" s="16" t="s">
        <v>283</v>
      </c>
      <c r="O70" s="16" t="s">
        <v>283</v>
      </c>
      <c r="P70" s="6" t="s">
        <v>283</v>
      </c>
      <c r="Q70" s="6" t="s">
        <v>283</v>
      </c>
      <c r="R70" s="6" t="s">
        <v>283</v>
      </c>
      <c r="S70" s="6" t="s">
        <v>283</v>
      </c>
      <c r="T70" s="6" t="s">
        <v>283</v>
      </c>
      <c r="U70" s="6" t="s">
        <v>283</v>
      </c>
      <c r="V70" s="6" t="s">
        <v>283</v>
      </c>
      <c r="W70" s="6" t="s">
        <v>283</v>
      </c>
      <c r="X70" s="6" t="s">
        <v>283</v>
      </c>
      <c r="Y70" s="16" t="s">
        <v>283</v>
      </c>
      <c r="Z70" s="16" t="s">
        <v>283</v>
      </c>
      <c r="AA70" s="16" t="s">
        <v>283</v>
      </c>
      <c r="AB70" s="16" t="s">
        <v>283</v>
      </c>
      <c r="AC70" s="6" t="s">
        <v>283</v>
      </c>
      <c r="AD70" s="6" t="s">
        <v>283</v>
      </c>
      <c r="AE70" s="6" t="s">
        <v>283</v>
      </c>
      <c r="AF70" s="6" t="s">
        <v>283</v>
      </c>
      <c r="AG70" s="6" t="s">
        <v>283</v>
      </c>
      <c r="AH70" s="6" t="s">
        <v>283</v>
      </c>
      <c r="AI70" s="6" t="s">
        <v>283</v>
      </c>
      <c r="AJ70" s="6" t="s">
        <v>283</v>
      </c>
    </row>
    <row r="71" spans="2:36" x14ac:dyDescent="0.3">
      <c r="B71" s="6">
        <v>38</v>
      </c>
      <c r="C71" s="8" t="s">
        <v>86</v>
      </c>
      <c r="D71" s="6" t="s">
        <v>18</v>
      </c>
      <c r="E71" s="10" t="s">
        <v>119</v>
      </c>
      <c r="F71" s="6">
        <v>134</v>
      </c>
      <c r="G71" s="15">
        <f>68+25+13</f>
        <v>106</v>
      </c>
      <c r="H71" s="6">
        <v>28</v>
      </c>
      <c r="I71" s="6" t="s">
        <v>365</v>
      </c>
      <c r="J71" s="6" t="s">
        <v>283</v>
      </c>
      <c r="K71" s="28">
        <v>1</v>
      </c>
      <c r="L71" s="11"/>
      <c r="M71" s="12"/>
      <c r="N71" s="12"/>
      <c r="O71" s="12"/>
      <c r="P71" s="7">
        <v>47.2</v>
      </c>
      <c r="Q71" s="7">
        <v>78.599999999999994</v>
      </c>
      <c r="R71" s="7">
        <v>89.3</v>
      </c>
      <c r="S71" s="7">
        <v>28.2</v>
      </c>
      <c r="T71" s="7"/>
      <c r="U71" s="7"/>
      <c r="V71" s="7">
        <v>53.7</v>
      </c>
      <c r="W71" s="7">
        <v>0.66300000000000003</v>
      </c>
      <c r="X71" s="7"/>
      <c r="Y71" s="17">
        <f>$G71*$P71/100</f>
        <v>50.032000000000011</v>
      </c>
      <c r="Z71" s="17">
        <f>$H71-$AB71</f>
        <v>5.9920000000000044</v>
      </c>
      <c r="AA71" s="17">
        <f>$G71-$Y71</f>
        <v>55.967999999999989</v>
      </c>
      <c r="AB71" s="17">
        <f>H71*Q71/100</f>
        <v>22.007999999999996</v>
      </c>
      <c r="AC71" s="7">
        <f t="shared" si="68"/>
        <v>0.47200000000000009</v>
      </c>
      <c r="AD71" s="7">
        <f t="shared" si="69"/>
        <v>0.78599999999999981</v>
      </c>
      <c r="AE71" s="7">
        <f t="shared" ref="AE71" si="78">$Y71/(Y71+$Z71)</f>
        <v>0.89304583749821498</v>
      </c>
      <c r="AF71" s="7">
        <f t="shared" si="71"/>
        <v>0.28224068944290553</v>
      </c>
      <c r="AG71" s="7">
        <f t="shared" si="72"/>
        <v>2.2056074766355125</v>
      </c>
      <c r="AH71" s="7">
        <f t="shared" si="73"/>
        <v>0.6717557251908397</v>
      </c>
      <c r="AI71" s="7">
        <f t="shared" ref="AI71" si="79">(Y71+AB71)/(Y71+Z71+AA71+AB71)</f>
        <v>0.53761194029850756</v>
      </c>
      <c r="AJ71" s="20">
        <f t="shared" si="75"/>
        <v>3.2833474936278662</v>
      </c>
    </row>
    <row r="72" spans="2:36" x14ac:dyDescent="0.3">
      <c r="B72" s="6">
        <v>39</v>
      </c>
      <c r="C72" s="8" t="s">
        <v>87</v>
      </c>
      <c r="D72" s="6" t="s">
        <v>132</v>
      </c>
      <c r="E72" s="10" t="s">
        <v>381</v>
      </c>
      <c r="F72" s="6">
        <v>125</v>
      </c>
      <c r="G72" s="6" t="s">
        <v>283</v>
      </c>
      <c r="H72" s="6" t="s">
        <v>283</v>
      </c>
      <c r="I72" s="6" t="s">
        <v>365</v>
      </c>
      <c r="J72" s="6" t="s">
        <v>283</v>
      </c>
      <c r="K72" s="28" t="s">
        <v>283</v>
      </c>
      <c r="L72" s="31" t="s">
        <v>283</v>
      </c>
      <c r="M72" s="16" t="s">
        <v>283</v>
      </c>
      <c r="N72" s="16" t="s">
        <v>283</v>
      </c>
      <c r="O72" s="16" t="s">
        <v>283</v>
      </c>
      <c r="P72" s="6" t="s">
        <v>283</v>
      </c>
      <c r="Q72" s="6" t="s">
        <v>283</v>
      </c>
      <c r="R72" s="6" t="s">
        <v>283</v>
      </c>
      <c r="S72" s="6" t="s">
        <v>283</v>
      </c>
      <c r="T72" s="6" t="s">
        <v>283</v>
      </c>
      <c r="U72" s="6" t="s">
        <v>283</v>
      </c>
      <c r="V72" s="6" t="s">
        <v>283</v>
      </c>
      <c r="W72" s="6" t="s">
        <v>283</v>
      </c>
      <c r="X72" s="6" t="s">
        <v>283</v>
      </c>
      <c r="Y72" s="16" t="s">
        <v>283</v>
      </c>
      <c r="Z72" s="16" t="s">
        <v>283</v>
      </c>
      <c r="AA72" s="16" t="s">
        <v>283</v>
      </c>
      <c r="AB72" s="16" t="s">
        <v>283</v>
      </c>
      <c r="AC72" s="6" t="s">
        <v>283</v>
      </c>
      <c r="AD72" s="6" t="s">
        <v>283</v>
      </c>
      <c r="AE72" s="6" t="s">
        <v>283</v>
      </c>
      <c r="AF72" s="6" t="s">
        <v>283</v>
      </c>
      <c r="AG72" s="6" t="s">
        <v>283</v>
      </c>
      <c r="AH72" s="6" t="s">
        <v>283</v>
      </c>
      <c r="AI72" s="6" t="s">
        <v>283</v>
      </c>
      <c r="AJ72" s="6" t="s">
        <v>283</v>
      </c>
    </row>
    <row r="73" spans="2:36" x14ac:dyDescent="0.3">
      <c r="B73" s="6"/>
      <c r="C73" s="8"/>
      <c r="D73" s="6"/>
      <c r="E73" s="10" t="s">
        <v>382</v>
      </c>
      <c r="F73" s="6">
        <v>124</v>
      </c>
      <c r="G73" s="6" t="s">
        <v>283</v>
      </c>
      <c r="H73" s="6" t="s">
        <v>283</v>
      </c>
      <c r="I73" s="6" t="s">
        <v>365</v>
      </c>
      <c r="J73" s="6" t="s">
        <v>283</v>
      </c>
      <c r="K73" s="28" t="s">
        <v>283</v>
      </c>
      <c r="L73" s="31" t="s">
        <v>283</v>
      </c>
      <c r="M73" s="16" t="s">
        <v>283</v>
      </c>
      <c r="N73" s="16" t="s">
        <v>283</v>
      </c>
      <c r="O73" s="16" t="s">
        <v>283</v>
      </c>
      <c r="P73" s="6" t="s">
        <v>283</v>
      </c>
      <c r="Q73" s="6" t="s">
        <v>283</v>
      </c>
      <c r="R73" s="6" t="s">
        <v>283</v>
      </c>
      <c r="S73" s="6" t="s">
        <v>283</v>
      </c>
      <c r="T73" s="6" t="s">
        <v>283</v>
      </c>
      <c r="U73" s="6" t="s">
        <v>283</v>
      </c>
      <c r="V73" s="6" t="s">
        <v>283</v>
      </c>
      <c r="W73" s="6" t="s">
        <v>283</v>
      </c>
      <c r="X73" s="6" t="s">
        <v>283</v>
      </c>
      <c r="Y73" s="16" t="s">
        <v>283</v>
      </c>
      <c r="Z73" s="16" t="s">
        <v>283</v>
      </c>
      <c r="AA73" s="16" t="s">
        <v>283</v>
      </c>
      <c r="AB73" s="16" t="s">
        <v>283</v>
      </c>
      <c r="AC73" s="6" t="s">
        <v>283</v>
      </c>
      <c r="AD73" s="6" t="s">
        <v>283</v>
      </c>
      <c r="AE73" s="6" t="s">
        <v>283</v>
      </c>
      <c r="AF73" s="6" t="s">
        <v>283</v>
      </c>
      <c r="AG73" s="6" t="s">
        <v>283</v>
      </c>
      <c r="AH73" s="6" t="s">
        <v>283</v>
      </c>
      <c r="AI73" s="6" t="s">
        <v>283</v>
      </c>
      <c r="AJ73" s="6" t="s">
        <v>283</v>
      </c>
    </row>
    <row r="74" spans="2:36" x14ac:dyDescent="0.3">
      <c r="B74" s="6">
        <v>40</v>
      </c>
      <c r="C74" s="8" t="s">
        <v>222</v>
      </c>
      <c r="D74" s="6" t="s">
        <v>130</v>
      </c>
      <c r="E74" s="10" t="s">
        <v>120</v>
      </c>
      <c r="F74" s="6">
        <v>146</v>
      </c>
      <c r="G74" s="15">
        <f>18+19+18</f>
        <v>55</v>
      </c>
      <c r="H74" s="6">
        <f>27+64</f>
        <v>91</v>
      </c>
      <c r="I74" s="6" t="s">
        <v>365</v>
      </c>
      <c r="J74" s="6" t="s">
        <v>283</v>
      </c>
      <c r="K74" s="28">
        <v>2.14</v>
      </c>
      <c r="L74" s="11"/>
      <c r="M74" s="12"/>
      <c r="N74" s="12"/>
      <c r="O74" s="12"/>
      <c r="P74" s="7">
        <v>83.6</v>
      </c>
      <c r="Q74" s="7">
        <v>73.599999999999994</v>
      </c>
      <c r="R74" s="7">
        <v>65.7</v>
      </c>
      <c r="S74" s="7">
        <v>88.2</v>
      </c>
      <c r="T74" s="7">
        <v>3.2</v>
      </c>
      <c r="U74" s="7">
        <v>0.2</v>
      </c>
      <c r="W74" s="7">
        <v>0.83</v>
      </c>
      <c r="X74" s="7"/>
      <c r="Y74" s="17">
        <f>$G74*$P74/100</f>
        <v>45.98</v>
      </c>
      <c r="Z74" s="17">
        <f>$H74-$AB74</f>
        <v>24.024000000000001</v>
      </c>
      <c r="AA74" s="17">
        <f>$G74-$Y74</f>
        <v>9.0200000000000031</v>
      </c>
      <c r="AB74" s="17">
        <f>H74*Q74/100</f>
        <v>66.975999999999999</v>
      </c>
      <c r="AC74" s="7">
        <f t="shared" ref="AC74:AC75" si="80">$Y74/($Y74+$AA74)</f>
        <v>0.83599999999999997</v>
      </c>
      <c r="AD74" s="7">
        <f t="shared" ref="AD74:AD75" si="81">$AB74/($Z74+$AB74)</f>
        <v>0.73599999999999999</v>
      </c>
      <c r="AE74" s="7">
        <f t="shared" ref="AE74:AE75" si="82">$Y74/(Y74+$Z74)</f>
        <v>0.65681961030798242</v>
      </c>
      <c r="AF74" s="7">
        <f t="shared" ref="AF74:AF75" si="83">$AB74/($AA74+$AB74)</f>
        <v>0.88130954260750549</v>
      </c>
      <c r="AG74" s="7">
        <f t="shared" ref="AG74:AG75" si="84">$AC74/(1-$AD74)</f>
        <v>3.1666666666666665</v>
      </c>
      <c r="AH74" s="7">
        <f t="shared" ref="AH74:AH75" si="85">(1-$AC74)/$AD74</f>
        <v>0.22282608695652178</v>
      </c>
      <c r="AI74" s="7">
        <f t="shared" ref="AI74:AI75" si="86">(Y74+AB74)/(Y74+Z74+AA74+AB74)</f>
        <v>0.77367123287671224</v>
      </c>
      <c r="AJ74" s="20">
        <f t="shared" ref="AJ74:AJ75" si="87">($Y74*$AB74)/($Z74*$AA74)</f>
        <v>14.211382113821131</v>
      </c>
    </row>
    <row r="75" spans="2:36" x14ac:dyDescent="0.3">
      <c r="B75" s="6">
        <v>41</v>
      </c>
      <c r="C75" s="8" t="s">
        <v>90</v>
      </c>
      <c r="D75" s="6" t="s">
        <v>18</v>
      </c>
      <c r="E75" s="10" t="s">
        <v>123</v>
      </c>
      <c r="F75" s="6">
        <v>289</v>
      </c>
      <c r="G75" s="15">
        <f>49+41+51</f>
        <v>141</v>
      </c>
      <c r="H75" s="6">
        <f>35+113</f>
        <v>148</v>
      </c>
      <c r="I75" s="6" t="s">
        <v>365</v>
      </c>
      <c r="J75" s="6" t="s">
        <v>283</v>
      </c>
      <c r="K75" s="28">
        <v>0.9</v>
      </c>
      <c r="L75" s="11"/>
      <c r="M75" s="12"/>
      <c r="N75" s="12"/>
      <c r="O75" s="12"/>
      <c r="P75" s="7">
        <v>77.3</v>
      </c>
      <c r="Q75" s="7">
        <v>81.099999999999994</v>
      </c>
      <c r="R75" s="7">
        <v>79.599999999999994</v>
      </c>
      <c r="S75" s="7">
        <v>78.900000000000006</v>
      </c>
      <c r="T75" s="7"/>
      <c r="U75" s="7"/>
      <c r="V75" s="7">
        <v>79.2</v>
      </c>
      <c r="W75" s="7">
        <v>0.83799999999999997</v>
      </c>
      <c r="X75" s="7" t="s">
        <v>180</v>
      </c>
      <c r="Y75" s="17">
        <f>$G75*$P75/100</f>
        <v>108.99299999999999</v>
      </c>
      <c r="Z75" s="17">
        <f>$H75-$AB75</f>
        <v>27.972000000000008</v>
      </c>
      <c r="AA75" s="17">
        <f>$G75-$Y75</f>
        <v>32.007000000000005</v>
      </c>
      <c r="AB75" s="17">
        <f>H75*Q75/100</f>
        <v>120.02799999999999</v>
      </c>
      <c r="AC75" s="7">
        <f t="shared" si="80"/>
        <v>0.77299999999999991</v>
      </c>
      <c r="AD75" s="7">
        <f t="shared" si="81"/>
        <v>0.81099999999999994</v>
      </c>
      <c r="AE75" s="7">
        <f t="shared" si="82"/>
        <v>0.79577264264593139</v>
      </c>
      <c r="AF75" s="7">
        <f t="shared" si="83"/>
        <v>0.78947610747525232</v>
      </c>
      <c r="AG75" s="7">
        <f t="shared" si="84"/>
        <v>4.0899470899470884</v>
      </c>
      <c r="AH75" s="7">
        <f t="shared" si="85"/>
        <v>0.27990135635018509</v>
      </c>
      <c r="AI75" s="7">
        <f t="shared" si="86"/>
        <v>0.79246020761245672</v>
      </c>
      <c r="AJ75" s="20">
        <f t="shared" si="87"/>
        <v>14.612101717828581</v>
      </c>
    </row>
    <row r="76" spans="2:36" x14ac:dyDescent="0.3">
      <c r="B76" s="6">
        <v>42</v>
      </c>
      <c r="C76" s="8" t="s">
        <v>93</v>
      </c>
      <c r="D76" s="6" t="s">
        <v>131</v>
      </c>
      <c r="E76" s="10" t="s">
        <v>126</v>
      </c>
      <c r="F76" s="6">
        <v>376</v>
      </c>
      <c r="G76" s="15">
        <f>97+78+130</f>
        <v>305</v>
      </c>
      <c r="H76" s="6">
        <f>29+42</f>
        <v>71</v>
      </c>
      <c r="I76" s="6" t="s">
        <v>365</v>
      </c>
      <c r="J76" s="6" t="s">
        <v>283</v>
      </c>
      <c r="K76" s="37" t="s">
        <v>208</v>
      </c>
      <c r="L76" s="11"/>
      <c r="M76" s="12"/>
      <c r="N76" s="12"/>
      <c r="O76" s="12"/>
      <c r="P76" s="7"/>
      <c r="Q76" s="7"/>
      <c r="R76" s="7"/>
      <c r="S76" s="7"/>
      <c r="T76" s="7"/>
      <c r="U76" s="7"/>
      <c r="V76" s="7"/>
      <c r="W76" s="7">
        <v>0.74099999999999999</v>
      </c>
      <c r="X76" s="7"/>
      <c r="Y76" s="12"/>
      <c r="Z76" s="12"/>
      <c r="AA76" s="12"/>
      <c r="AB76" s="12"/>
      <c r="AC76" s="7"/>
      <c r="AD76" s="7"/>
      <c r="AE76" s="7"/>
      <c r="AF76" s="7"/>
      <c r="AG76" s="7"/>
      <c r="AH76" s="7"/>
      <c r="AI76" s="7"/>
      <c r="AJ76" s="20"/>
    </row>
    <row r="77" spans="2:36" x14ac:dyDescent="0.3">
      <c r="B77" s="6">
        <v>43</v>
      </c>
      <c r="C77" s="8" t="s">
        <v>95</v>
      </c>
      <c r="D77" s="6" t="s">
        <v>131</v>
      </c>
      <c r="E77" s="10" t="s">
        <v>129</v>
      </c>
      <c r="F77" s="6">
        <v>84</v>
      </c>
      <c r="G77" s="6" t="s">
        <v>283</v>
      </c>
      <c r="H77" s="6" t="s">
        <v>283</v>
      </c>
      <c r="I77" s="6" t="s">
        <v>365</v>
      </c>
      <c r="J77" s="6" t="s">
        <v>283</v>
      </c>
      <c r="K77" s="28" t="s">
        <v>283</v>
      </c>
      <c r="L77" s="31" t="s">
        <v>283</v>
      </c>
      <c r="M77" s="16" t="s">
        <v>283</v>
      </c>
      <c r="N77" s="16" t="s">
        <v>283</v>
      </c>
      <c r="O77" s="16" t="s">
        <v>283</v>
      </c>
      <c r="P77" s="6" t="s">
        <v>283</v>
      </c>
      <c r="Q77" s="6" t="s">
        <v>283</v>
      </c>
      <c r="R77" s="6" t="s">
        <v>283</v>
      </c>
      <c r="S77" s="6" t="s">
        <v>283</v>
      </c>
      <c r="T77" s="6" t="s">
        <v>283</v>
      </c>
      <c r="U77" s="6" t="s">
        <v>283</v>
      </c>
      <c r="V77" s="6" t="s">
        <v>283</v>
      </c>
      <c r="W77" s="6" t="s">
        <v>283</v>
      </c>
      <c r="X77" s="6" t="s">
        <v>283</v>
      </c>
      <c r="Y77" s="16" t="s">
        <v>283</v>
      </c>
      <c r="Z77" s="16" t="s">
        <v>283</v>
      </c>
      <c r="AA77" s="16" t="s">
        <v>283</v>
      </c>
      <c r="AB77" s="16" t="s">
        <v>283</v>
      </c>
      <c r="AC77" s="6" t="s">
        <v>283</v>
      </c>
      <c r="AD77" s="6" t="s">
        <v>283</v>
      </c>
      <c r="AE77" s="6" t="s">
        <v>283</v>
      </c>
      <c r="AF77" s="6" t="s">
        <v>283</v>
      </c>
      <c r="AG77" s="6" t="s">
        <v>283</v>
      </c>
      <c r="AH77" s="6" t="s">
        <v>283</v>
      </c>
      <c r="AI77" s="6" t="s">
        <v>283</v>
      </c>
      <c r="AJ77" s="6" t="s">
        <v>283</v>
      </c>
    </row>
    <row r="78" spans="2:36" x14ac:dyDescent="0.3">
      <c r="B78" s="6">
        <v>44</v>
      </c>
      <c r="C78" s="8" t="s">
        <v>223</v>
      </c>
      <c r="D78" s="6" t="s">
        <v>131</v>
      </c>
      <c r="E78" s="10" t="s">
        <v>215</v>
      </c>
      <c r="F78" s="6">
        <v>200</v>
      </c>
      <c r="G78" s="15">
        <f>21+16+34</f>
        <v>71</v>
      </c>
      <c r="H78" s="6">
        <f>84+45</f>
        <v>129</v>
      </c>
      <c r="I78" s="6" t="s">
        <v>365</v>
      </c>
      <c r="J78" s="6" t="s">
        <v>283</v>
      </c>
      <c r="K78" s="28">
        <v>1.86</v>
      </c>
      <c r="L78" s="11"/>
      <c r="M78" s="12"/>
      <c r="N78" s="12"/>
      <c r="O78" s="12"/>
      <c r="P78" s="7">
        <v>84.7</v>
      </c>
      <c r="Q78" s="7">
        <v>74.400000000000006</v>
      </c>
      <c r="R78" s="7">
        <v>64.900000000000006</v>
      </c>
      <c r="S78" s="7">
        <v>89.7</v>
      </c>
      <c r="T78" s="7"/>
      <c r="U78" s="7"/>
      <c r="V78" s="7"/>
      <c r="W78" s="7">
        <v>0.83699999999999997</v>
      </c>
      <c r="X78" s="7"/>
      <c r="Y78" s="17">
        <f>$G78*$P78/100</f>
        <v>60.137</v>
      </c>
      <c r="Z78" s="17">
        <f>$H78-$AB78</f>
        <v>33.024000000000001</v>
      </c>
      <c r="AA78" s="17">
        <f>$G78-$Y78</f>
        <v>10.863</v>
      </c>
      <c r="AB78" s="17">
        <f>H78*Q78/100</f>
        <v>95.975999999999999</v>
      </c>
      <c r="AC78" s="7">
        <f t="shared" ref="AC78:AC79" si="88">$Y78/($Y78+$AA78)</f>
        <v>0.84699999999999998</v>
      </c>
      <c r="AD78" s="7">
        <f t="shared" ref="AD78:AD79" si="89">$AB78/($Z78+$AB78)</f>
        <v>0.74399999999999999</v>
      </c>
      <c r="AE78" s="7">
        <f t="shared" ref="AE78:AE79" si="90">$Y78/(Y78+$Z78)</f>
        <v>0.64551690084906777</v>
      </c>
      <c r="AF78" s="7">
        <f t="shared" ref="AF78:AF79" si="91">$AB78/($AA78+$AB78)</f>
        <v>0.89832364585965796</v>
      </c>
      <c r="AG78" s="7">
        <f t="shared" ref="AG78:AG79" si="92">$AC78/(1-$AD78)</f>
        <v>3.30859375</v>
      </c>
      <c r="AH78" s="7">
        <f t="shared" ref="AH78:AH79" si="93">(1-$AC78)/$AD78</f>
        <v>0.20564516129032262</v>
      </c>
      <c r="AI78" s="7">
        <f t="shared" ref="AI78:AI79" si="94">(Y78+AB78)/(Y78+Z78+AA78+AB78)</f>
        <v>0.78056499999999995</v>
      </c>
      <c r="AJ78" s="20">
        <f t="shared" ref="AJ78:AJ79" si="95">($Y78*$AB78)/($Z78*$AA78)</f>
        <v>16.088848039215687</v>
      </c>
    </row>
    <row r="79" spans="2:36" x14ac:dyDescent="0.3">
      <c r="B79" s="6">
        <v>45</v>
      </c>
      <c r="C79" s="8" t="s">
        <v>99</v>
      </c>
      <c r="D79" s="6" t="s">
        <v>131</v>
      </c>
      <c r="E79" s="10" t="s">
        <v>128</v>
      </c>
      <c r="F79" s="6">
        <v>137</v>
      </c>
      <c r="G79" s="15">
        <f>27+18+11</f>
        <v>56</v>
      </c>
      <c r="H79" s="6">
        <f>10+71</f>
        <v>81</v>
      </c>
      <c r="I79" s="6" t="s">
        <v>365</v>
      </c>
      <c r="J79" s="6" t="s">
        <v>283</v>
      </c>
      <c r="K79" s="28">
        <v>1</v>
      </c>
      <c r="L79" s="11"/>
      <c r="M79" s="12"/>
      <c r="N79" s="12"/>
      <c r="O79" s="12"/>
      <c r="P79" s="7">
        <v>93</v>
      </c>
      <c r="Q79" s="7">
        <v>93</v>
      </c>
      <c r="R79" s="7">
        <v>90</v>
      </c>
      <c r="S79" s="7">
        <v>95</v>
      </c>
      <c r="T79" s="7"/>
      <c r="U79" s="7"/>
      <c r="V79" s="7"/>
      <c r="W79" s="7">
        <v>0.97899999999999998</v>
      </c>
      <c r="X79" s="7" t="s">
        <v>183</v>
      </c>
      <c r="Y79" s="17">
        <f>$G79*$P79/100</f>
        <v>52.08</v>
      </c>
      <c r="Z79" s="17">
        <f>$H79-$AB79</f>
        <v>5.6700000000000017</v>
      </c>
      <c r="AA79" s="17">
        <f>$G79-$Y79</f>
        <v>3.9200000000000017</v>
      </c>
      <c r="AB79" s="17">
        <f>H79*Q79/100</f>
        <v>75.33</v>
      </c>
      <c r="AC79" s="7">
        <f t="shared" si="88"/>
        <v>0.92999999999999994</v>
      </c>
      <c r="AD79" s="7">
        <f t="shared" si="89"/>
        <v>0.92999999999999994</v>
      </c>
      <c r="AE79" s="7">
        <f t="shared" si="90"/>
        <v>0.90181818181818174</v>
      </c>
      <c r="AF79" s="7">
        <f t="shared" si="91"/>
        <v>0.95053627760252368</v>
      </c>
      <c r="AG79" s="7">
        <f t="shared" si="92"/>
        <v>13.285714285714272</v>
      </c>
      <c r="AH79" s="7">
        <f t="shared" si="93"/>
        <v>7.5268817204301147E-2</v>
      </c>
      <c r="AI79" s="7">
        <f t="shared" si="94"/>
        <v>0.92999999999999994</v>
      </c>
      <c r="AJ79" s="20">
        <f t="shared" si="95"/>
        <v>176.51020408163251</v>
      </c>
    </row>
  </sheetData>
  <sheetProtection algorithmName="SHA-512" hashValue="8Z2nJGcaLvfxj4umtGH7FRGWzE9DBUN4oUdzS3URSFyeEKl82wHDOV+PZv8h5irFUENdDqK5DzT5TyClkvr19A==" saltValue="T2506TQHBCul9AStPOZTzg==" spinCount="100000" sheet="1" objects="1" scenarios="1" selectLockedCells="1" selectUnlockedCells="1"/>
  <mergeCells count="12">
    <mergeCell ref="B1:B3"/>
    <mergeCell ref="C1:C3"/>
    <mergeCell ref="D1:H1"/>
    <mergeCell ref="L1:X1"/>
    <mergeCell ref="Y1:AJ1"/>
    <mergeCell ref="D2:D3"/>
    <mergeCell ref="E2:E3"/>
    <mergeCell ref="I2:I3"/>
    <mergeCell ref="K2:K3"/>
    <mergeCell ref="W2:X2"/>
    <mergeCell ref="I1:K1"/>
    <mergeCell ref="J2:J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80"/>
  <sheetViews>
    <sheetView zoomScale="80" zoomScaleNormal="80" workbookViewId="0">
      <pane ySplit="3" topLeftCell="A4" activePane="bottomLeft" state="frozen"/>
      <selection pane="bottomLeft" activeCell="C4" sqref="C4"/>
    </sheetView>
  </sheetViews>
  <sheetFormatPr defaultRowHeight="16.5" x14ac:dyDescent="0.3"/>
  <cols>
    <col min="1" max="2" width="5.125" customWidth="1"/>
    <col min="3" max="3" width="15.625" style="4" customWidth="1"/>
    <col min="5" max="5" width="16.5" customWidth="1"/>
    <col min="6" max="6" width="9" customWidth="1"/>
    <col min="7" max="7" width="9" style="3" customWidth="1"/>
    <col min="8" max="8" width="9" style="3"/>
    <col min="9" max="11" width="9.875" style="3" customWidth="1"/>
    <col min="12" max="35" width="7.125" customWidth="1"/>
  </cols>
  <sheetData>
    <row r="1" spans="2:36" ht="16.5" customHeight="1" x14ac:dyDescent="0.3">
      <c r="B1" s="51" t="s">
        <v>0</v>
      </c>
      <c r="C1" s="54" t="s">
        <v>267</v>
      </c>
      <c r="D1" s="54" t="s">
        <v>112</v>
      </c>
      <c r="E1" s="54"/>
      <c r="F1" s="54"/>
      <c r="G1" s="54"/>
      <c r="H1" s="54"/>
      <c r="I1" s="54" t="s">
        <v>100</v>
      </c>
      <c r="J1" s="54"/>
      <c r="K1" s="63"/>
      <c r="L1" s="55" t="s">
        <v>113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6" t="s">
        <v>101</v>
      </c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2:36" ht="16.5" customHeight="1" x14ac:dyDescent="0.3">
      <c r="B2" s="52"/>
      <c r="C2" s="54"/>
      <c r="D2" s="54" t="s">
        <v>1</v>
      </c>
      <c r="E2" s="57" t="s">
        <v>137</v>
      </c>
      <c r="F2" s="5" t="s">
        <v>138</v>
      </c>
      <c r="G2" s="13" t="s">
        <v>140</v>
      </c>
      <c r="H2" s="14" t="s">
        <v>141</v>
      </c>
      <c r="I2" s="59" t="s">
        <v>366</v>
      </c>
      <c r="J2" s="54" t="s">
        <v>282</v>
      </c>
      <c r="K2" s="60" t="s">
        <v>384</v>
      </c>
      <c r="L2" s="9" t="s">
        <v>102</v>
      </c>
      <c r="M2" s="5" t="s">
        <v>103</v>
      </c>
      <c r="N2" s="5" t="s">
        <v>104</v>
      </c>
      <c r="O2" s="5" t="s">
        <v>105</v>
      </c>
      <c r="P2" s="5" t="s">
        <v>106</v>
      </c>
      <c r="Q2" s="5" t="s">
        <v>114</v>
      </c>
      <c r="R2" s="5" t="s">
        <v>115</v>
      </c>
      <c r="S2" s="5" t="s">
        <v>116</v>
      </c>
      <c r="T2" s="5" t="s">
        <v>107</v>
      </c>
      <c r="U2" s="5" t="s">
        <v>108</v>
      </c>
      <c r="V2" s="5" t="s">
        <v>117</v>
      </c>
      <c r="W2" s="62" t="s">
        <v>46</v>
      </c>
      <c r="X2" s="55"/>
      <c r="Y2" s="5" t="s">
        <v>102</v>
      </c>
      <c r="Z2" s="5" t="s">
        <v>103</v>
      </c>
      <c r="AA2" s="5" t="s">
        <v>104</v>
      </c>
      <c r="AB2" s="5" t="s">
        <v>105</v>
      </c>
      <c r="AC2" s="5" t="s">
        <v>106</v>
      </c>
      <c r="AD2" s="5" t="s">
        <v>114</v>
      </c>
      <c r="AE2" s="5" t="s">
        <v>115</v>
      </c>
      <c r="AF2" s="5" t="s">
        <v>116</v>
      </c>
      <c r="AG2" s="5" t="s">
        <v>107</v>
      </c>
      <c r="AH2" s="5" t="s">
        <v>108</v>
      </c>
      <c r="AI2" s="5" t="s">
        <v>117</v>
      </c>
      <c r="AJ2" s="5" t="s">
        <v>144</v>
      </c>
    </row>
    <row r="3" spans="2:36" x14ac:dyDescent="0.3">
      <c r="B3" s="53"/>
      <c r="C3" s="54"/>
      <c r="D3" s="54"/>
      <c r="E3" s="58"/>
      <c r="F3" s="5" t="s">
        <v>109</v>
      </c>
      <c r="G3" s="5" t="s">
        <v>109</v>
      </c>
      <c r="H3" s="5" t="s">
        <v>109</v>
      </c>
      <c r="I3" s="54"/>
      <c r="J3" s="54"/>
      <c r="K3" s="61"/>
      <c r="L3" s="9" t="s">
        <v>109</v>
      </c>
      <c r="M3" s="5" t="s">
        <v>109</v>
      </c>
      <c r="N3" s="5" t="s">
        <v>109</v>
      </c>
      <c r="O3" s="5" t="s">
        <v>109</v>
      </c>
      <c r="P3" s="5" t="s">
        <v>110</v>
      </c>
      <c r="Q3" s="5" t="s">
        <v>110</v>
      </c>
      <c r="R3" s="5" t="s">
        <v>110</v>
      </c>
      <c r="S3" s="5" t="s">
        <v>110</v>
      </c>
      <c r="T3" s="5" t="s">
        <v>110</v>
      </c>
      <c r="U3" s="5" t="s">
        <v>110</v>
      </c>
      <c r="V3" s="5" t="s">
        <v>110</v>
      </c>
      <c r="W3" s="5" t="s">
        <v>111</v>
      </c>
      <c r="X3" s="5" t="s">
        <v>118</v>
      </c>
      <c r="Y3" s="5" t="s">
        <v>109</v>
      </c>
      <c r="Z3" s="5" t="s">
        <v>109</v>
      </c>
      <c r="AA3" s="5" t="s">
        <v>109</v>
      </c>
      <c r="AB3" s="5" t="s">
        <v>109</v>
      </c>
      <c r="AC3" s="5" t="s">
        <v>110</v>
      </c>
      <c r="AD3" s="5" t="s">
        <v>110</v>
      </c>
      <c r="AE3" s="5" t="s">
        <v>110</v>
      </c>
      <c r="AF3" s="5" t="s">
        <v>110</v>
      </c>
      <c r="AG3" s="5" t="s">
        <v>110</v>
      </c>
      <c r="AH3" s="5" t="s">
        <v>110</v>
      </c>
      <c r="AI3" s="5" t="s">
        <v>110</v>
      </c>
      <c r="AJ3" s="5" t="s">
        <v>145</v>
      </c>
    </row>
    <row r="4" spans="2:36" x14ac:dyDescent="0.3">
      <c r="B4" s="6">
        <v>1</v>
      </c>
      <c r="C4" s="8" t="s">
        <v>2</v>
      </c>
      <c r="D4" s="6" t="s">
        <v>18</v>
      </c>
      <c r="E4" s="10" t="s">
        <v>119</v>
      </c>
      <c r="F4" s="6">
        <v>80</v>
      </c>
      <c r="G4" s="15">
        <v>12</v>
      </c>
      <c r="H4" s="6">
        <v>68</v>
      </c>
      <c r="I4" s="6" t="s">
        <v>365</v>
      </c>
      <c r="J4" s="6" t="s">
        <v>283</v>
      </c>
      <c r="K4" s="28">
        <v>1.37</v>
      </c>
      <c r="L4" s="11"/>
      <c r="M4" s="12"/>
      <c r="N4" s="12"/>
      <c r="O4" s="12"/>
      <c r="P4" s="7">
        <v>75</v>
      </c>
      <c r="Q4" s="7">
        <v>79.400000000000006</v>
      </c>
      <c r="R4" s="7">
        <v>39.1</v>
      </c>
      <c r="S4" s="7">
        <v>94.7</v>
      </c>
      <c r="U4" s="7"/>
      <c r="V4" s="7">
        <v>78.7</v>
      </c>
      <c r="W4" s="7">
        <v>0.83</v>
      </c>
      <c r="X4" s="7"/>
      <c r="Y4" s="17">
        <f>$G4*$P4/100</f>
        <v>9</v>
      </c>
      <c r="Z4" s="17">
        <f>$H4-$AB4</f>
        <v>14.007999999999996</v>
      </c>
      <c r="AA4" s="17">
        <f>$G4-$Y4</f>
        <v>3</v>
      </c>
      <c r="AB4" s="17">
        <f>$H4*$Q4/100</f>
        <v>53.992000000000004</v>
      </c>
      <c r="AC4" s="7">
        <f>$Y4/($Y4+$AA4)</f>
        <v>0.75</v>
      </c>
      <c r="AD4" s="7">
        <f>$AB4/($Z4+$AB4)</f>
        <v>0.79400000000000004</v>
      </c>
      <c r="AE4" s="7">
        <f>$Y4/($Y4+$Z4)</f>
        <v>0.39116828929068159</v>
      </c>
      <c r="AF4" s="7">
        <f>$AB4/($AA4+$AB4)</f>
        <v>0.94736103312745645</v>
      </c>
      <c r="AG4" s="7">
        <f>$AC4/(1-$AD4)</f>
        <v>3.6407766990291268</v>
      </c>
      <c r="AH4" s="7">
        <f>(1-$AC4)/$AD4</f>
        <v>0.31486146095717882</v>
      </c>
      <c r="AI4" s="7">
        <f>($Y4+$AB4)/($Y4+$Z4+$AA4+$AB4)</f>
        <v>0.7874000000000001</v>
      </c>
      <c r="AJ4" s="20">
        <f>($Y4*$AB4)/($Z4*$AA4)</f>
        <v>11.563106796116509</v>
      </c>
    </row>
    <row r="5" spans="2:36" x14ac:dyDescent="0.3">
      <c r="B5" s="6">
        <v>2</v>
      </c>
      <c r="C5" s="8" t="s">
        <v>8</v>
      </c>
      <c r="D5" s="6" t="s">
        <v>130</v>
      </c>
      <c r="E5" s="10" t="s">
        <v>120</v>
      </c>
      <c r="F5" s="6">
        <v>100</v>
      </c>
      <c r="G5" s="15">
        <f>17+15</f>
        <v>32</v>
      </c>
      <c r="H5" s="6">
        <f>7+28+33</f>
        <v>68</v>
      </c>
      <c r="I5" s="6" t="s">
        <v>365</v>
      </c>
      <c r="J5" s="6" t="s">
        <v>283</v>
      </c>
      <c r="K5" s="37" t="s">
        <v>208</v>
      </c>
      <c r="L5" s="11"/>
      <c r="M5" s="12"/>
      <c r="N5" s="12"/>
      <c r="O5" s="12"/>
      <c r="P5" s="7"/>
      <c r="Q5" s="7"/>
      <c r="R5" s="7"/>
      <c r="S5" s="7"/>
      <c r="T5" s="7"/>
      <c r="U5" s="7"/>
      <c r="V5" s="7"/>
      <c r="W5" s="7">
        <v>0.84</v>
      </c>
      <c r="X5" s="7"/>
      <c r="Y5" s="17"/>
      <c r="Z5" s="17"/>
      <c r="AA5" s="17"/>
      <c r="AB5" s="17"/>
      <c r="AC5" s="7"/>
      <c r="AD5" s="7"/>
      <c r="AE5" s="7"/>
      <c r="AF5" s="7"/>
      <c r="AG5" s="7"/>
      <c r="AH5" s="7"/>
      <c r="AI5" s="7"/>
      <c r="AJ5" s="20"/>
    </row>
    <row r="6" spans="2:36" x14ac:dyDescent="0.3">
      <c r="B6" s="6">
        <v>3</v>
      </c>
      <c r="C6" s="8" t="s">
        <v>11</v>
      </c>
      <c r="D6" s="6" t="s">
        <v>131</v>
      </c>
      <c r="E6" s="10" t="s">
        <v>121</v>
      </c>
      <c r="F6" s="6">
        <v>100</v>
      </c>
      <c r="G6" s="15">
        <v>45</v>
      </c>
      <c r="H6" s="6">
        <v>55</v>
      </c>
      <c r="I6" s="6" t="s">
        <v>133</v>
      </c>
      <c r="J6" s="6" t="s">
        <v>283</v>
      </c>
      <c r="K6" s="28">
        <v>5.35</v>
      </c>
      <c r="L6" s="11"/>
      <c r="M6" s="12"/>
      <c r="N6" s="12"/>
      <c r="O6" s="12"/>
      <c r="P6" s="7">
        <v>98.7</v>
      </c>
      <c r="Q6" s="7">
        <v>89.1</v>
      </c>
      <c r="R6" s="7">
        <v>88</v>
      </c>
      <c r="S6" s="7">
        <v>98</v>
      </c>
      <c r="T6" s="7"/>
      <c r="U6" s="7"/>
      <c r="V6" s="7"/>
      <c r="W6" s="7">
        <v>0.98699999999999999</v>
      </c>
      <c r="X6" s="7"/>
      <c r="Y6" s="17">
        <f>$G6*$P6/100</f>
        <v>44.414999999999999</v>
      </c>
      <c r="Z6" s="17">
        <f>$H6-$AB6</f>
        <v>5.9949999999999974</v>
      </c>
      <c r="AA6" s="17">
        <f>$G6-$Y6</f>
        <v>0.58500000000000085</v>
      </c>
      <c r="AB6" s="17">
        <f>$H6*$Q6/100</f>
        <v>49.005000000000003</v>
      </c>
      <c r="AC6" s="7">
        <f>$Y6/($Y6+$AA6)</f>
        <v>0.98699999999999999</v>
      </c>
      <c r="AD6" s="7">
        <f>$AB6/($Z6+$AB6)</f>
        <v>0.89100000000000001</v>
      </c>
      <c r="AE6" s="7">
        <f>$Y6/($Y6+$Z6)</f>
        <v>0.88107518349533831</v>
      </c>
      <c r="AF6" s="7">
        <f>$AB6/($AA6+$AB6)</f>
        <v>0.9882032667876588</v>
      </c>
      <c r="AG6" s="7">
        <f>$AC6/(1-$AD6)</f>
        <v>9.0550458715596349</v>
      </c>
      <c r="AH6" s="7">
        <f>(1-$AC6)/$AD6</f>
        <v>1.459034792368127E-2</v>
      </c>
      <c r="AI6" s="7">
        <f>($Y6+$AB6)/($Y6+$Z6+$AA6+$AB6)</f>
        <v>0.93420000000000003</v>
      </c>
      <c r="AJ6" s="20">
        <f>($Y6*$AB6)/($Z6*$AA6)</f>
        <v>620.61891319689425</v>
      </c>
    </row>
    <row r="7" spans="2:36" x14ac:dyDescent="0.3">
      <c r="B7" s="6">
        <v>4</v>
      </c>
      <c r="C7" s="8" t="s">
        <v>14</v>
      </c>
      <c r="D7" s="6" t="s">
        <v>131</v>
      </c>
      <c r="E7" s="10" t="s">
        <v>122</v>
      </c>
      <c r="F7" s="6">
        <v>102</v>
      </c>
      <c r="G7" s="15">
        <f>17+1</f>
        <v>18</v>
      </c>
      <c r="H7" s="6">
        <f>33+51</f>
        <v>84</v>
      </c>
      <c r="I7" s="6" t="s">
        <v>365</v>
      </c>
      <c r="J7" s="6" t="s">
        <v>283</v>
      </c>
      <c r="K7" s="28">
        <v>0.9</v>
      </c>
      <c r="L7" s="11"/>
      <c r="M7" s="12"/>
      <c r="N7" s="12"/>
      <c r="O7" s="12"/>
      <c r="P7" s="7">
        <v>66.7</v>
      </c>
      <c r="Q7" s="7">
        <v>61.4</v>
      </c>
      <c r="R7" s="7">
        <v>22.9</v>
      </c>
      <c r="S7" s="7">
        <v>91.5</v>
      </c>
      <c r="T7" s="7"/>
      <c r="U7" s="7"/>
      <c r="V7" s="7">
        <v>62.2</v>
      </c>
      <c r="W7" s="7">
        <v>0.63</v>
      </c>
      <c r="X7" s="7"/>
      <c r="Y7" s="17">
        <f>$G7*$P7/100</f>
        <v>12.006000000000002</v>
      </c>
      <c r="Z7" s="17">
        <f>$H7-$AB7</f>
        <v>32.424000000000007</v>
      </c>
      <c r="AA7" s="17">
        <f>$G7-$Y7</f>
        <v>5.993999999999998</v>
      </c>
      <c r="AB7" s="17">
        <f>$H7*$Q7/100</f>
        <v>51.575999999999993</v>
      </c>
      <c r="AC7" s="7">
        <f>$Y7/($Y7+$AA7)</f>
        <v>0.66700000000000015</v>
      </c>
      <c r="AD7" s="7">
        <f>$AB7/($Z7+$AB7)</f>
        <v>0.61399999999999988</v>
      </c>
      <c r="AE7" s="7">
        <f>$Y7/($Y7+$Z7)</f>
        <v>0.27022282241728562</v>
      </c>
      <c r="AF7" s="7">
        <f>$AB7/($AA7+$AB7)</f>
        <v>0.89588327253778011</v>
      </c>
      <c r="AG7" s="7">
        <f>$AC7/(1-$AD7)</f>
        <v>1.7279792746113989</v>
      </c>
      <c r="AH7" s="7">
        <f>(1-$AC7)/$AD7</f>
        <v>0.54234527687296408</v>
      </c>
      <c r="AI7" s="7">
        <f>($Y7+$AB7)/($Y7+$Z7+$AA7+$AB7)</f>
        <v>0.62335294117647055</v>
      </c>
      <c r="AJ7" s="20">
        <f>($Y7*$AB7)/($Z7*$AA7)</f>
        <v>3.1861239477819794</v>
      </c>
    </row>
    <row r="8" spans="2:36" x14ac:dyDescent="0.3">
      <c r="B8" s="6"/>
      <c r="C8" s="8"/>
      <c r="D8" s="6"/>
      <c r="E8" s="10"/>
      <c r="F8" s="6">
        <v>102</v>
      </c>
      <c r="G8" s="15">
        <v>18</v>
      </c>
      <c r="H8" s="6">
        <v>84</v>
      </c>
      <c r="I8" s="6" t="s">
        <v>283</v>
      </c>
      <c r="J8" s="6" t="s">
        <v>135</v>
      </c>
      <c r="K8" s="28">
        <v>10</v>
      </c>
      <c r="L8" s="11"/>
      <c r="M8" s="12"/>
      <c r="N8" s="12"/>
      <c r="O8" s="12"/>
      <c r="P8" s="7">
        <v>92.3</v>
      </c>
      <c r="Q8" s="7">
        <v>66.7</v>
      </c>
      <c r="R8" s="7">
        <v>45.9</v>
      </c>
      <c r="S8" s="7">
        <v>96</v>
      </c>
      <c r="T8" s="7"/>
      <c r="U8" s="7"/>
      <c r="V8" s="7">
        <v>74.7</v>
      </c>
      <c r="W8" s="7">
        <v>0.81</v>
      </c>
      <c r="X8" s="7" t="s">
        <v>224</v>
      </c>
      <c r="Y8" s="17">
        <f>$G8*$P8/100</f>
        <v>16.613999999999997</v>
      </c>
      <c r="Z8" s="17">
        <f>$H8-$AB8</f>
        <v>27.972000000000001</v>
      </c>
      <c r="AA8" s="17">
        <f>$G8-$Y8</f>
        <v>1.3860000000000028</v>
      </c>
      <c r="AB8" s="17">
        <f>$H8*$Q8/100</f>
        <v>56.027999999999999</v>
      </c>
      <c r="AC8" s="7">
        <f>$Y8/($Y8+$AA8)</f>
        <v>0.92299999999999982</v>
      </c>
      <c r="AD8" s="7">
        <f>$AB8/($Z8+$AB8)</f>
        <v>0.66700000000000004</v>
      </c>
      <c r="AE8" s="7">
        <f>$Y8/($Y8+$Z8)</f>
        <v>0.37262817924909158</v>
      </c>
      <c r="AF8" s="7">
        <f>$AB8/($AA8+$AB8)</f>
        <v>0.97585954645208484</v>
      </c>
      <c r="AG8" s="7">
        <f>$AC8/(1-$AD8)</f>
        <v>2.7717717717717716</v>
      </c>
      <c r="AH8" s="7">
        <f>(1-$AC8)/$AD8</f>
        <v>0.11544227886056997</v>
      </c>
      <c r="AI8" s="7">
        <f>($Y8+$AB8)/($Y8+$Z8+$AA8+$AB8)</f>
        <v>0.7121764705882353</v>
      </c>
      <c r="AJ8" s="20">
        <f>($Y8*$AB8)/($Z8*$AA8)</f>
        <v>24.010023010022955</v>
      </c>
    </row>
    <row r="9" spans="2:36" x14ac:dyDescent="0.3">
      <c r="B9" s="6">
        <v>5</v>
      </c>
      <c r="C9" s="8" t="s">
        <v>17</v>
      </c>
      <c r="D9" s="6" t="s">
        <v>18</v>
      </c>
      <c r="E9" s="10" t="s">
        <v>123</v>
      </c>
      <c r="F9" s="6">
        <v>113</v>
      </c>
      <c r="G9" s="15">
        <f>20+13</f>
        <v>33</v>
      </c>
      <c r="H9" s="6">
        <f>19+26+6+2+27</f>
        <v>80</v>
      </c>
      <c r="I9" s="6" t="s">
        <v>365</v>
      </c>
      <c r="J9" s="6" t="s">
        <v>283</v>
      </c>
      <c r="K9" s="28">
        <v>0.71</v>
      </c>
      <c r="L9" s="11"/>
      <c r="M9" s="12"/>
      <c r="N9" s="12"/>
      <c r="O9" s="12"/>
      <c r="P9" s="7">
        <v>85.3</v>
      </c>
      <c r="Q9" s="7">
        <v>78.5</v>
      </c>
      <c r="R9" s="7"/>
      <c r="S9" s="7"/>
      <c r="T9" s="7"/>
      <c r="U9" s="7"/>
      <c r="V9" s="7"/>
      <c r="W9" s="7">
        <v>0.86599999999999999</v>
      </c>
      <c r="X9" s="7" t="s">
        <v>147</v>
      </c>
      <c r="Y9" s="17">
        <f>$G9*$P9/100</f>
        <v>28.149000000000001</v>
      </c>
      <c r="Z9" s="17">
        <f>$H9-$AB9</f>
        <v>17.200000000000003</v>
      </c>
      <c r="AA9" s="17">
        <f>$G9-$Y9</f>
        <v>4.8509999999999991</v>
      </c>
      <c r="AB9" s="17">
        <f>$H9*$Q9/100</f>
        <v>62.8</v>
      </c>
      <c r="AC9" s="7">
        <f t="shared" ref="AC9:AC18" si="0">$Y9/($Y9+$AA9)</f>
        <v>0.85299999999999998</v>
      </c>
      <c r="AD9" s="7">
        <f t="shared" ref="AD9:AD18" si="1">$AB9/($Z9+$AB9)</f>
        <v>0.78499999999999992</v>
      </c>
      <c r="AE9" s="7">
        <f t="shared" ref="AE9:AE18" si="2">$Y9/($Y9+$Z9)</f>
        <v>0.62071931023837346</v>
      </c>
      <c r="AF9" s="7">
        <f t="shared" ref="AF9:AF18" si="3">$AB9/($AA9+$AB9)</f>
        <v>0.92829374288628408</v>
      </c>
      <c r="AG9" s="7">
        <f t="shared" ref="AG9:AG18" si="4">$AC9/(1-$AD9)</f>
        <v>3.9674418604651147</v>
      </c>
      <c r="AH9" s="7">
        <f t="shared" ref="AH9:AH18" si="5">(1-$AC9)/$AD9</f>
        <v>0.18726114649681533</v>
      </c>
      <c r="AI9" s="7">
        <f t="shared" ref="AI9:AI18" si="6">($Y9+$AB9)/($Y9+$Z9+$AA9+$AB9)</f>
        <v>0.80485840707964595</v>
      </c>
      <c r="AJ9" s="20">
        <f t="shared" ref="AJ9:AJ18" si="7">($Y9*$AB9)/($Z9*$AA9)</f>
        <v>21.186679322891948</v>
      </c>
    </row>
    <row r="10" spans="2:36" x14ac:dyDescent="0.3">
      <c r="B10" s="6">
        <v>6</v>
      </c>
      <c r="C10" s="8" t="s">
        <v>20</v>
      </c>
      <c r="D10" s="6" t="s">
        <v>131</v>
      </c>
      <c r="E10" s="10" t="s">
        <v>124</v>
      </c>
      <c r="F10" s="6">
        <v>233</v>
      </c>
      <c r="G10" s="15">
        <f>12+2</f>
        <v>14</v>
      </c>
      <c r="H10" s="6">
        <f>49+131+39</f>
        <v>219</v>
      </c>
      <c r="I10" s="6" t="s">
        <v>365</v>
      </c>
      <c r="J10" s="6" t="s">
        <v>283</v>
      </c>
      <c r="K10" s="28">
        <v>1.1599999999999999</v>
      </c>
      <c r="L10" s="11"/>
      <c r="M10" s="12"/>
      <c r="N10" s="12"/>
      <c r="O10" s="12"/>
      <c r="P10" s="7">
        <v>64.3</v>
      </c>
      <c r="Q10" s="7">
        <v>69.900000000000006</v>
      </c>
      <c r="R10" s="7">
        <v>12</v>
      </c>
      <c r="S10" s="7">
        <v>96.8</v>
      </c>
      <c r="T10" s="7">
        <v>2.133</v>
      </c>
      <c r="U10" s="7">
        <v>0.51100000000000001</v>
      </c>
      <c r="V10" s="7"/>
      <c r="W10" s="7">
        <v>0.66</v>
      </c>
      <c r="X10" s="7" t="s">
        <v>149</v>
      </c>
      <c r="Y10" s="17">
        <f>$G10*$P10/100</f>
        <v>9.0019999999999989</v>
      </c>
      <c r="Z10" s="17">
        <f>$H10-$AB10</f>
        <v>65.918999999999983</v>
      </c>
      <c r="AA10" s="17">
        <f>$G10-$Y10</f>
        <v>4.9980000000000011</v>
      </c>
      <c r="AB10" s="17">
        <f>$H10*$Q10/100</f>
        <v>153.08100000000002</v>
      </c>
      <c r="AC10" s="7">
        <f t="shared" si="0"/>
        <v>0.6429999999999999</v>
      </c>
      <c r="AD10" s="7">
        <f t="shared" si="1"/>
        <v>0.69900000000000007</v>
      </c>
      <c r="AE10" s="7">
        <f t="shared" si="2"/>
        <v>0.12015322806689716</v>
      </c>
      <c r="AF10" s="7">
        <f t="shared" si="3"/>
        <v>0.96838289715901549</v>
      </c>
      <c r="AG10" s="7">
        <f t="shared" si="4"/>
        <v>2.1362126245847177</v>
      </c>
      <c r="AH10" s="7">
        <f t="shared" si="5"/>
        <v>0.51072961373390569</v>
      </c>
      <c r="AI10" s="7">
        <f t="shared" si="6"/>
        <v>0.69563519313304734</v>
      </c>
      <c r="AJ10" s="20">
        <f t="shared" si="7"/>
        <v>4.1826684162036907</v>
      </c>
    </row>
    <row r="11" spans="2:36" x14ac:dyDescent="0.3">
      <c r="B11" s="6"/>
      <c r="C11" s="8"/>
      <c r="D11" s="6"/>
      <c r="E11" s="10"/>
      <c r="F11" s="6">
        <v>234</v>
      </c>
      <c r="G11" s="15">
        <f>12+2</f>
        <v>14</v>
      </c>
      <c r="H11" s="6">
        <f>49+131+39</f>
        <v>219</v>
      </c>
      <c r="I11" s="6" t="s">
        <v>283</v>
      </c>
      <c r="J11" s="6" t="s">
        <v>136</v>
      </c>
      <c r="K11" s="37" t="s">
        <v>208</v>
      </c>
      <c r="L11" s="11"/>
      <c r="M11" s="12"/>
      <c r="N11" s="12"/>
      <c r="O11" s="12"/>
      <c r="P11" s="7"/>
      <c r="Q11" s="7"/>
      <c r="R11" s="7"/>
      <c r="S11" s="7"/>
      <c r="T11" s="7"/>
      <c r="U11" s="7"/>
      <c r="V11" s="7"/>
      <c r="W11" s="7">
        <v>0.75</v>
      </c>
      <c r="X11" s="35" t="s">
        <v>226</v>
      </c>
      <c r="Y11" s="17"/>
      <c r="Z11" s="17"/>
      <c r="AA11" s="17"/>
      <c r="AB11" s="17"/>
      <c r="AC11" s="7"/>
      <c r="AD11" s="7"/>
      <c r="AE11" s="7"/>
      <c r="AF11" s="7"/>
      <c r="AG11" s="7"/>
      <c r="AH11" s="7"/>
      <c r="AI11" s="7"/>
      <c r="AJ11" s="20"/>
    </row>
    <row r="12" spans="2:36" x14ac:dyDescent="0.3">
      <c r="B12" s="6">
        <v>7</v>
      </c>
      <c r="C12" s="8" t="s">
        <v>22</v>
      </c>
      <c r="D12" s="6" t="s">
        <v>130</v>
      </c>
      <c r="E12" s="10" t="s">
        <v>120</v>
      </c>
      <c r="F12" s="6">
        <v>141</v>
      </c>
      <c r="G12" s="15">
        <f>26+24</f>
        <v>50</v>
      </c>
      <c r="H12" s="6">
        <f>6+58+27</f>
        <v>91</v>
      </c>
      <c r="I12" s="6" t="s">
        <v>365</v>
      </c>
      <c r="J12" s="6" t="s">
        <v>283</v>
      </c>
      <c r="K12" s="28">
        <v>2.99</v>
      </c>
      <c r="L12" s="11"/>
      <c r="M12" s="12"/>
      <c r="N12" s="12"/>
      <c r="O12" s="12"/>
      <c r="P12" s="7">
        <v>76.099999999999994</v>
      </c>
      <c r="Q12" s="7">
        <v>93.3</v>
      </c>
      <c r="R12" s="7"/>
      <c r="S12" s="7"/>
      <c r="T12" s="7"/>
      <c r="U12" s="7"/>
      <c r="V12" s="7"/>
      <c r="W12" s="7">
        <v>0.86</v>
      </c>
      <c r="X12" s="7"/>
      <c r="Y12" s="17">
        <f>$G12*$P12/100</f>
        <v>38.049999999999997</v>
      </c>
      <c r="Z12" s="17">
        <f>$H12-$AB12</f>
        <v>6.0970000000000084</v>
      </c>
      <c r="AA12" s="17">
        <f>$G12-$Y12</f>
        <v>11.950000000000003</v>
      </c>
      <c r="AB12" s="17">
        <f>$H12*$Q12/100</f>
        <v>84.902999999999992</v>
      </c>
      <c r="AC12" s="7">
        <f t="shared" si="0"/>
        <v>0.7609999999999999</v>
      </c>
      <c r="AD12" s="7">
        <f t="shared" si="1"/>
        <v>0.93299999999999994</v>
      </c>
      <c r="AE12" s="7">
        <f t="shared" si="2"/>
        <v>0.86189322037737537</v>
      </c>
      <c r="AF12" s="7">
        <f t="shared" si="3"/>
        <v>0.8766171414411531</v>
      </c>
      <c r="AG12" s="7">
        <f t="shared" si="4"/>
        <v>11.358208955223869</v>
      </c>
      <c r="AH12" s="7">
        <f t="shared" si="5"/>
        <v>0.25616291532690261</v>
      </c>
      <c r="AI12" s="7">
        <f t="shared" si="6"/>
        <v>0.87200709219858152</v>
      </c>
      <c r="AJ12" s="20">
        <f t="shared" si="7"/>
        <v>44.339786423530803</v>
      </c>
    </row>
    <row r="13" spans="2:36" x14ac:dyDescent="0.3">
      <c r="B13" s="6"/>
      <c r="C13" s="8"/>
      <c r="D13" s="6"/>
      <c r="E13" s="10"/>
      <c r="F13" s="6">
        <v>141</v>
      </c>
      <c r="G13" s="15">
        <v>77</v>
      </c>
      <c r="H13" s="6">
        <v>64</v>
      </c>
      <c r="I13" s="6" t="s">
        <v>283</v>
      </c>
      <c r="J13" s="6" t="s">
        <v>29</v>
      </c>
      <c r="K13" s="28" t="s">
        <v>385</v>
      </c>
      <c r="L13" s="11"/>
      <c r="M13" s="12"/>
      <c r="N13" s="12"/>
      <c r="O13" s="12"/>
      <c r="P13" s="7">
        <v>95.7</v>
      </c>
      <c r="Q13" s="7">
        <v>75.3</v>
      </c>
      <c r="R13" s="7"/>
      <c r="S13" s="7"/>
      <c r="T13" s="7"/>
      <c r="U13" s="7"/>
      <c r="V13" s="7"/>
      <c r="W13" s="7"/>
      <c r="X13" s="7"/>
      <c r="Y13" s="17">
        <f>$G13*$P13/100</f>
        <v>73.689000000000007</v>
      </c>
      <c r="Z13" s="17">
        <f>$H13-$AB13</f>
        <v>15.808</v>
      </c>
      <c r="AA13" s="17">
        <f>$G13-$Y13</f>
        <v>3.3109999999999928</v>
      </c>
      <c r="AB13" s="17">
        <f>$H13*$Q13/100</f>
        <v>48.192</v>
      </c>
      <c r="AC13" s="7">
        <f t="shared" si="0"/>
        <v>0.95700000000000007</v>
      </c>
      <c r="AD13" s="7">
        <f t="shared" si="1"/>
        <v>0.753</v>
      </c>
      <c r="AE13" s="7">
        <f t="shared" si="2"/>
        <v>0.82336838106305232</v>
      </c>
      <c r="AF13" s="7">
        <f t="shared" si="3"/>
        <v>0.93571248276799424</v>
      </c>
      <c r="AG13" s="7">
        <f t="shared" si="4"/>
        <v>3.8744939271255063</v>
      </c>
      <c r="AH13" s="7">
        <f t="shared" si="5"/>
        <v>5.7104913678618759E-2</v>
      </c>
      <c r="AI13" s="7">
        <f t="shared" si="6"/>
        <v>0.86440425531914888</v>
      </c>
      <c r="AJ13" s="20">
        <f t="shared" si="7"/>
        <v>67.848695979663091</v>
      </c>
    </row>
    <row r="14" spans="2:36" x14ac:dyDescent="0.3">
      <c r="B14" s="6"/>
      <c r="C14" s="8"/>
      <c r="D14" s="6"/>
      <c r="E14" s="10"/>
      <c r="F14" s="6">
        <v>141</v>
      </c>
      <c r="G14" s="15">
        <v>77</v>
      </c>
      <c r="H14" s="6">
        <v>64</v>
      </c>
      <c r="I14" s="6" t="s">
        <v>283</v>
      </c>
      <c r="J14" s="6" t="s">
        <v>227</v>
      </c>
      <c r="K14" s="28" t="s">
        <v>386</v>
      </c>
      <c r="L14" s="11"/>
      <c r="M14" s="12"/>
      <c r="N14" s="12"/>
      <c r="O14" s="12"/>
      <c r="P14" s="7">
        <v>80.2</v>
      </c>
      <c r="Q14" s="7">
        <v>87.6</v>
      </c>
      <c r="R14" s="7"/>
      <c r="S14" s="7"/>
      <c r="T14" s="7"/>
      <c r="U14" s="7"/>
      <c r="V14" s="7"/>
      <c r="W14" s="7"/>
      <c r="X14" s="7"/>
      <c r="Y14" s="17">
        <f>$G14*$P14/100</f>
        <v>61.754000000000005</v>
      </c>
      <c r="Z14" s="17">
        <f>$H14-$AB14</f>
        <v>7.936000000000007</v>
      </c>
      <c r="AA14" s="17">
        <f>$G14-$Y14</f>
        <v>15.245999999999995</v>
      </c>
      <c r="AB14" s="17">
        <f>$H14*$Q14/100</f>
        <v>56.063999999999993</v>
      </c>
      <c r="AC14" s="7">
        <f t="shared" si="0"/>
        <v>0.80200000000000005</v>
      </c>
      <c r="AD14" s="7">
        <f t="shared" si="1"/>
        <v>0.87599999999999989</v>
      </c>
      <c r="AE14" s="7">
        <f t="shared" si="2"/>
        <v>0.88612426460037297</v>
      </c>
      <c r="AF14" s="7">
        <f t="shared" si="3"/>
        <v>0.78620109381573411</v>
      </c>
      <c r="AG14" s="7">
        <f t="shared" si="4"/>
        <v>6.4677419354838657</v>
      </c>
      <c r="AH14" s="7">
        <f t="shared" si="5"/>
        <v>0.22602739726027396</v>
      </c>
      <c r="AI14" s="7">
        <f t="shared" si="6"/>
        <v>0.83558865248226943</v>
      </c>
      <c r="AJ14" s="20">
        <f t="shared" si="7"/>
        <v>28.614858260019531</v>
      </c>
    </row>
    <row r="15" spans="2:36" x14ac:dyDescent="0.3">
      <c r="B15" s="6">
        <v>8</v>
      </c>
      <c r="C15" s="8" t="s">
        <v>25</v>
      </c>
      <c r="D15" s="6" t="s">
        <v>131</v>
      </c>
      <c r="E15" s="10" t="s">
        <v>124</v>
      </c>
      <c r="F15" s="6">
        <v>94</v>
      </c>
      <c r="G15" s="6" t="s">
        <v>283</v>
      </c>
      <c r="H15" s="6" t="s">
        <v>283</v>
      </c>
      <c r="I15" s="6" t="s">
        <v>365</v>
      </c>
      <c r="J15" s="6" t="s">
        <v>283</v>
      </c>
      <c r="K15" s="28" t="s">
        <v>283</v>
      </c>
      <c r="L15" s="31" t="s">
        <v>283</v>
      </c>
      <c r="M15" s="16" t="s">
        <v>283</v>
      </c>
      <c r="N15" s="16" t="s">
        <v>283</v>
      </c>
      <c r="O15" s="16" t="s">
        <v>283</v>
      </c>
      <c r="P15" s="6" t="s">
        <v>283</v>
      </c>
      <c r="Q15" s="6" t="s">
        <v>283</v>
      </c>
      <c r="R15" s="6" t="s">
        <v>283</v>
      </c>
      <c r="S15" s="6" t="s">
        <v>283</v>
      </c>
      <c r="T15" s="6" t="s">
        <v>283</v>
      </c>
      <c r="U15" s="6" t="s">
        <v>283</v>
      </c>
      <c r="V15" s="6" t="s">
        <v>283</v>
      </c>
      <c r="W15" s="6" t="s">
        <v>283</v>
      </c>
      <c r="X15" s="6" t="s">
        <v>283</v>
      </c>
      <c r="Y15" s="16" t="s">
        <v>283</v>
      </c>
      <c r="Z15" s="16" t="s">
        <v>283</v>
      </c>
      <c r="AA15" s="16" t="s">
        <v>283</v>
      </c>
      <c r="AB15" s="16" t="s">
        <v>283</v>
      </c>
      <c r="AC15" s="6" t="s">
        <v>283</v>
      </c>
      <c r="AD15" s="6" t="s">
        <v>283</v>
      </c>
      <c r="AE15" s="6" t="s">
        <v>283</v>
      </c>
      <c r="AF15" s="6" t="s">
        <v>283</v>
      </c>
      <c r="AG15" s="6" t="s">
        <v>283</v>
      </c>
      <c r="AH15" s="6" t="s">
        <v>283</v>
      </c>
      <c r="AI15" s="6" t="s">
        <v>283</v>
      </c>
      <c r="AJ15" s="21" t="s">
        <v>283</v>
      </c>
    </row>
    <row r="16" spans="2:36" x14ac:dyDescent="0.3">
      <c r="B16" s="6"/>
      <c r="C16" s="8"/>
      <c r="D16" s="6"/>
      <c r="E16" s="10"/>
      <c r="F16" s="6">
        <v>94</v>
      </c>
      <c r="G16" s="6" t="s">
        <v>283</v>
      </c>
      <c r="H16" s="6" t="s">
        <v>283</v>
      </c>
      <c r="I16" s="6" t="s">
        <v>283</v>
      </c>
      <c r="J16" s="6" t="s">
        <v>9</v>
      </c>
      <c r="K16" s="28" t="s">
        <v>283</v>
      </c>
      <c r="L16" s="31" t="s">
        <v>283</v>
      </c>
      <c r="M16" s="16" t="s">
        <v>283</v>
      </c>
      <c r="N16" s="16" t="s">
        <v>283</v>
      </c>
      <c r="O16" s="16" t="s">
        <v>283</v>
      </c>
      <c r="P16" s="6" t="s">
        <v>283</v>
      </c>
      <c r="Q16" s="6" t="s">
        <v>283</v>
      </c>
      <c r="R16" s="6" t="s">
        <v>283</v>
      </c>
      <c r="S16" s="6" t="s">
        <v>283</v>
      </c>
      <c r="T16" s="6" t="s">
        <v>283</v>
      </c>
      <c r="U16" s="6" t="s">
        <v>283</v>
      </c>
      <c r="V16" s="6" t="s">
        <v>283</v>
      </c>
      <c r="W16" s="6" t="s">
        <v>283</v>
      </c>
      <c r="X16" s="6" t="s">
        <v>283</v>
      </c>
      <c r="Y16" s="16" t="s">
        <v>283</v>
      </c>
      <c r="Z16" s="16" t="s">
        <v>283</v>
      </c>
      <c r="AA16" s="16" t="s">
        <v>283</v>
      </c>
      <c r="AB16" s="16" t="s">
        <v>283</v>
      </c>
      <c r="AC16" s="6" t="s">
        <v>283</v>
      </c>
      <c r="AD16" s="6" t="s">
        <v>283</v>
      </c>
      <c r="AE16" s="6" t="s">
        <v>283</v>
      </c>
      <c r="AF16" s="6" t="s">
        <v>283</v>
      </c>
      <c r="AG16" s="6" t="s">
        <v>283</v>
      </c>
      <c r="AH16" s="6" t="s">
        <v>283</v>
      </c>
      <c r="AI16" s="6" t="s">
        <v>283</v>
      </c>
      <c r="AJ16" s="21" t="s">
        <v>283</v>
      </c>
    </row>
    <row r="17" spans="2:36" x14ac:dyDescent="0.3">
      <c r="B17" s="6">
        <v>9</v>
      </c>
      <c r="C17" s="8" t="s">
        <v>28</v>
      </c>
      <c r="D17" s="6" t="s">
        <v>131</v>
      </c>
      <c r="E17" s="10" t="s">
        <v>189</v>
      </c>
      <c r="F17" s="6">
        <v>77</v>
      </c>
      <c r="G17" s="15">
        <f>8+18</f>
        <v>26</v>
      </c>
      <c r="H17" s="6">
        <f>27+15+9</f>
        <v>51</v>
      </c>
      <c r="I17" s="6" t="s">
        <v>365</v>
      </c>
      <c r="J17" s="6" t="s">
        <v>283</v>
      </c>
      <c r="K17" s="28">
        <v>1.06</v>
      </c>
      <c r="L17" s="11"/>
      <c r="M17" s="12"/>
      <c r="N17" s="12"/>
      <c r="O17" s="12"/>
      <c r="P17" s="7">
        <v>76.900000000000006</v>
      </c>
      <c r="Q17" s="7">
        <v>68.599999999999994</v>
      </c>
      <c r="R17" s="7"/>
      <c r="S17" s="7"/>
      <c r="T17" s="7"/>
      <c r="U17" s="7"/>
      <c r="V17" s="7"/>
      <c r="W17" s="7"/>
      <c r="X17" s="7"/>
      <c r="Y17" s="17">
        <f>$G17*$P17/100</f>
        <v>19.994</v>
      </c>
      <c r="Z17" s="17">
        <f>$H17-$AB17</f>
        <v>16.014000000000003</v>
      </c>
      <c r="AA17" s="17">
        <f>$G17-$Y17</f>
        <v>6.0060000000000002</v>
      </c>
      <c r="AB17" s="17">
        <f>$H17*$Q17/100</f>
        <v>34.985999999999997</v>
      </c>
      <c r="AC17" s="7">
        <f t="shared" si="0"/>
        <v>0.76900000000000002</v>
      </c>
      <c r="AD17" s="7">
        <f t="shared" si="1"/>
        <v>0.68599999999999994</v>
      </c>
      <c r="AE17" s="7">
        <f t="shared" si="2"/>
        <v>0.55526549655632074</v>
      </c>
      <c r="AF17" s="7">
        <f t="shared" si="3"/>
        <v>0.85348360655737698</v>
      </c>
      <c r="AG17" s="7">
        <f t="shared" si="4"/>
        <v>2.4490445859872607</v>
      </c>
      <c r="AH17" s="7">
        <f t="shared" si="5"/>
        <v>0.33673469387755101</v>
      </c>
      <c r="AI17" s="7">
        <f t="shared" si="6"/>
        <v>0.71402597402597401</v>
      </c>
      <c r="AJ17" s="20">
        <f t="shared" si="7"/>
        <v>7.2729202856591364</v>
      </c>
    </row>
    <row r="18" spans="2:36" x14ac:dyDescent="0.3">
      <c r="B18" s="6"/>
      <c r="C18" s="8"/>
      <c r="D18" s="6"/>
      <c r="E18" s="10"/>
      <c r="F18" s="6">
        <v>77</v>
      </c>
      <c r="G18" s="15">
        <f>8+18</f>
        <v>26</v>
      </c>
      <c r="H18" s="6">
        <f>27+15+9</f>
        <v>51</v>
      </c>
      <c r="I18" s="6"/>
      <c r="J18" s="6" t="s">
        <v>29</v>
      </c>
      <c r="K18" s="28" t="s">
        <v>387</v>
      </c>
      <c r="L18" s="11"/>
      <c r="M18" s="12"/>
      <c r="N18" s="12"/>
      <c r="O18" s="12"/>
      <c r="P18" s="7">
        <v>80.8</v>
      </c>
      <c r="Q18" s="7">
        <v>84.3</v>
      </c>
      <c r="R18" s="7"/>
      <c r="S18" s="7"/>
      <c r="T18" s="7"/>
      <c r="U18" s="7"/>
      <c r="V18" s="7"/>
      <c r="W18" s="7"/>
      <c r="X18" s="7"/>
      <c r="Y18" s="17">
        <f>$G18*$P18/100</f>
        <v>21.007999999999996</v>
      </c>
      <c r="Z18" s="17">
        <f>$H18-$AB18</f>
        <v>8.0069999999999979</v>
      </c>
      <c r="AA18" s="17">
        <f>$G18-$Y18</f>
        <v>4.9920000000000044</v>
      </c>
      <c r="AB18" s="17">
        <f>$H18*$Q18/100</f>
        <v>42.993000000000002</v>
      </c>
      <c r="AC18" s="7">
        <f t="shared" si="0"/>
        <v>0.80799999999999983</v>
      </c>
      <c r="AD18" s="7">
        <f t="shared" si="1"/>
        <v>0.84300000000000008</v>
      </c>
      <c r="AE18" s="7">
        <f t="shared" si="2"/>
        <v>0.72403929002240219</v>
      </c>
      <c r="AF18" s="7">
        <f t="shared" si="3"/>
        <v>0.89596748984057506</v>
      </c>
      <c r="AG18" s="7">
        <f t="shared" si="4"/>
        <v>5.1464968152866257</v>
      </c>
      <c r="AH18" s="7">
        <f t="shared" si="5"/>
        <v>0.22775800711743791</v>
      </c>
      <c r="AI18" s="7">
        <f t="shared" si="6"/>
        <v>0.83118181818181824</v>
      </c>
      <c r="AJ18" s="20">
        <f t="shared" si="7"/>
        <v>22.596337579617817</v>
      </c>
    </row>
    <row r="19" spans="2:36" x14ac:dyDescent="0.3">
      <c r="B19" s="6">
        <v>10</v>
      </c>
      <c r="C19" s="8" t="s">
        <v>31</v>
      </c>
      <c r="D19" s="6" t="s">
        <v>132</v>
      </c>
      <c r="E19" s="10" t="s">
        <v>210</v>
      </c>
      <c r="F19" s="6">
        <v>312</v>
      </c>
      <c r="G19" s="15" t="s">
        <v>283</v>
      </c>
      <c r="H19" s="6" t="s">
        <v>283</v>
      </c>
      <c r="I19" s="6" t="s">
        <v>365</v>
      </c>
      <c r="J19" s="6" t="s">
        <v>283</v>
      </c>
      <c r="K19" s="28" t="s">
        <v>283</v>
      </c>
      <c r="L19" s="31" t="s">
        <v>283</v>
      </c>
      <c r="M19" s="16" t="s">
        <v>283</v>
      </c>
      <c r="N19" s="16" t="s">
        <v>283</v>
      </c>
      <c r="O19" s="16" t="s">
        <v>283</v>
      </c>
      <c r="P19" s="6" t="s">
        <v>283</v>
      </c>
      <c r="Q19" s="6" t="s">
        <v>283</v>
      </c>
      <c r="R19" s="6" t="s">
        <v>283</v>
      </c>
      <c r="S19" s="6" t="s">
        <v>283</v>
      </c>
      <c r="T19" s="6" t="s">
        <v>283</v>
      </c>
      <c r="U19" s="6" t="s">
        <v>283</v>
      </c>
      <c r="V19" s="6" t="s">
        <v>283</v>
      </c>
      <c r="W19" s="6" t="s">
        <v>283</v>
      </c>
      <c r="X19" s="6" t="s">
        <v>283</v>
      </c>
      <c r="Y19" s="16" t="s">
        <v>283</v>
      </c>
      <c r="Z19" s="16" t="s">
        <v>283</v>
      </c>
      <c r="AA19" s="16" t="s">
        <v>283</v>
      </c>
      <c r="AB19" s="16" t="s">
        <v>283</v>
      </c>
      <c r="AC19" s="6" t="s">
        <v>283</v>
      </c>
      <c r="AD19" s="6" t="s">
        <v>283</v>
      </c>
      <c r="AE19" s="6" t="s">
        <v>283</v>
      </c>
      <c r="AF19" s="6" t="s">
        <v>283</v>
      </c>
      <c r="AG19" s="6" t="s">
        <v>283</v>
      </c>
      <c r="AH19" s="6" t="s">
        <v>283</v>
      </c>
      <c r="AI19" s="6" t="s">
        <v>283</v>
      </c>
      <c r="AJ19" s="21" t="s">
        <v>283</v>
      </c>
    </row>
    <row r="20" spans="2:36" x14ac:dyDescent="0.3">
      <c r="B20" s="6"/>
      <c r="C20" s="8"/>
      <c r="D20" s="6"/>
      <c r="E20" s="10"/>
      <c r="F20" s="6">
        <v>312</v>
      </c>
      <c r="G20" s="15" t="s">
        <v>283</v>
      </c>
      <c r="H20" s="6" t="s">
        <v>283</v>
      </c>
      <c r="I20" s="6" t="s">
        <v>283</v>
      </c>
      <c r="J20" s="6" t="s">
        <v>9</v>
      </c>
      <c r="K20" s="28" t="s">
        <v>283</v>
      </c>
      <c r="L20" s="31" t="s">
        <v>283</v>
      </c>
      <c r="M20" s="16" t="s">
        <v>283</v>
      </c>
      <c r="N20" s="16" t="s">
        <v>283</v>
      </c>
      <c r="O20" s="16" t="s">
        <v>283</v>
      </c>
      <c r="P20" s="6" t="s">
        <v>283</v>
      </c>
      <c r="Q20" s="6" t="s">
        <v>283</v>
      </c>
      <c r="R20" s="6" t="s">
        <v>283</v>
      </c>
      <c r="S20" s="6" t="s">
        <v>283</v>
      </c>
      <c r="T20" s="6" t="s">
        <v>283</v>
      </c>
      <c r="U20" s="6" t="s">
        <v>283</v>
      </c>
      <c r="V20" s="6" t="s">
        <v>283</v>
      </c>
      <c r="W20" s="6" t="s">
        <v>283</v>
      </c>
      <c r="X20" s="6" t="s">
        <v>283</v>
      </c>
      <c r="Y20" s="16" t="s">
        <v>283</v>
      </c>
      <c r="Z20" s="16" t="s">
        <v>283</v>
      </c>
      <c r="AA20" s="16" t="s">
        <v>283</v>
      </c>
      <c r="AB20" s="16" t="s">
        <v>283</v>
      </c>
      <c r="AC20" s="6" t="s">
        <v>283</v>
      </c>
      <c r="AD20" s="6" t="s">
        <v>283</v>
      </c>
      <c r="AE20" s="6" t="s">
        <v>283</v>
      </c>
      <c r="AF20" s="6" t="s">
        <v>283</v>
      </c>
      <c r="AG20" s="6" t="s">
        <v>283</v>
      </c>
      <c r="AH20" s="6" t="s">
        <v>283</v>
      </c>
      <c r="AI20" s="6" t="s">
        <v>283</v>
      </c>
      <c r="AJ20" s="21" t="s">
        <v>283</v>
      </c>
    </row>
    <row r="21" spans="2:36" x14ac:dyDescent="0.3">
      <c r="B21" s="6">
        <v>11</v>
      </c>
      <c r="C21" s="8" t="s">
        <v>32</v>
      </c>
      <c r="D21" s="6" t="s">
        <v>132</v>
      </c>
      <c r="E21" s="10" t="s">
        <v>125</v>
      </c>
      <c r="F21" s="6">
        <v>96</v>
      </c>
      <c r="G21" s="6">
        <f>10+3</f>
        <v>13</v>
      </c>
      <c r="H21" s="6">
        <f>25+44+14</f>
        <v>83</v>
      </c>
      <c r="I21" s="6" t="s">
        <v>365</v>
      </c>
      <c r="J21" s="6" t="s">
        <v>283</v>
      </c>
      <c r="K21" s="37" t="s">
        <v>208</v>
      </c>
      <c r="L21" s="31"/>
      <c r="M21" s="16"/>
      <c r="N21" s="16"/>
      <c r="O21" s="39"/>
      <c r="P21" s="38">
        <v>100</v>
      </c>
      <c r="Q21" s="38">
        <v>63</v>
      </c>
      <c r="R21" s="38"/>
      <c r="S21" s="38"/>
      <c r="T21" s="38"/>
      <c r="U21" s="38"/>
      <c r="V21" s="38"/>
      <c r="W21" s="38">
        <v>0.86499999999999999</v>
      </c>
      <c r="X21" s="38"/>
      <c r="Y21" s="16"/>
      <c r="Z21" s="16"/>
      <c r="AA21" s="16"/>
      <c r="AB21" s="16"/>
      <c r="AC21" s="6"/>
      <c r="AD21" s="6"/>
      <c r="AE21" s="6"/>
      <c r="AF21" s="6"/>
      <c r="AG21" s="6"/>
      <c r="AH21" s="6"/>
      <c r="AI21" s="6"/>
      <c r="AJ21" s="21"/>
    </row>
    <row r="22" spans="2:36" x14ac:dyDescent="0.3">
      <c r="B22" s="6">
        <v>12</v>
      </c>
      <c r="C22" s="8" t="s">
        <v>35</v>
      </c>
      <c r="D22" s="6" t="s">
        <v>131</v>
      </c>
      <c r="E22" s="42" t="s">
        <v>410</v>
      </c>
      <c r="F22" s="6">
        <v>108</v>
      </c>
      <c r="G22" s="15">
        <v>56</v>
      </c>
      <c r="H22" s="6">
        <v>52</v>
      </c>
      <c r="I22" s="6" t="s">
        <v>365</v>
      </c>
      <c r="J22" s="6" t="s">
        <v>283</v>
      </c>
      <c r="K22" s="28">
        <v>2.15</v>
      </c>
      <c r="L22" s="11"/>
      <c r="M22" s="12"/>
      <c r="N22" s="12"/>
      <c r="O22" s="12"/>
      <c r="P22" s="7">
        <v>66</v>
      </c>
      <c r="Q22" s="7">
        <v>59</v>
      </c>
      <c r="R22" s="7">
        <v>70</v>
      </c>
      <c r="S22" s="7">
        <v>55</v>
      </c>
      <c r="T22" s="7"/>
      <c r="U22" s="7"/>
      <c r="V22" s="7"/>
      <c r="W22" s="7">
        <v>0.67</v>
      </c>
      <c r="X22" s="7"/>
      <c r="Y22" s="17">
        <f>$G22*$P22/100</f>
        <v>36.96</v>
      </c>
      <c r="Z22" s="17">
        <f>$H22-$AB22</f>
        <v>21.32</v>
      </c>
      <c r="AA22" s="17">
        <f>$G22-$Y22</f>
        <v>19.04</v>
      </c>
      <c r="AB22" s="17">
        <f>$H22*$Q22/100</f>
        <v>30.68</v>
      </c>
      <c r="AC22" s="7">
        <f t="shared" ref="AC22:AC66" si="8">$Y22/($Y22+$AA22)</f>
        <v>0.66</v>
      </c>
      <c r="AD22" s="7">
        <f t="shared" ref="AD22:AD66" si="9">$AB22/($Z22+$AB22)</f>
        <v>0.59</v>
      </c>
      <c r="AE22" s="7">
        <f t="shared" ref="AE22:AE66" si="10">$Y22/($Y22+$Z22)</f>
        <v>0.63417982155113251</v>
      </c>
      <c r="AF22" s="7">
        <f t="shared" ref="AF22:AF66" si="11">$AB22/($AA22+$AB22)</f>
        <v>0.61705551086082056</v>
      </c>
      <c r="AG22" s="7">
        <f t="shared" ref="AG22:AG66" si="12">$AC22/(1-$AD22)</f>
        <v>1.6097560975609755</v>
      </c>
      <c r="AH22" s="7">
        <f t="shared" ref="AH22:AH66" si="13">(1-$AC22)/$AD22</f>
        <v>0.57627118644067798</v>
      </c>
      <c r="AI22" s="7">
        <f t="shared" ref="AI22:AI66" si="14">($Y22+$AB22)/($Y22+$Z22+$AA22+$AB22)</f>
        <v>0.62629629629629635</v>
      </c>
      <c r="AJ22" s="20">
        <f t="shared" ref="AJ22:AJ66" si="15">($Y22*$AB22)/($Z22*$AA22)</f>
        <v>2.793400286944046</v>
      </c>
    </row>
    <row r="23" spans="2:36" x14ac:dyDescent="0.3">
      <c r="B23" s="6"/>
      <c r="C23" s="8"/>
      <c r="D23" s="6"/>
      <c r="E23" s="10"/>
      <c r="F23" s="6">
        <v>108</v>
      </c>
      <c r="G23" s="15">
        <v>56</v>
      </c>
      <c r="H23" s="6">
        <v>52</v>
      </c>
      <c r="I23" s="6" t="s">
        <v>283</v>
      </c>
      <c r="J23" s="6" t="s">
        <v>9</v>
      </c>
      <c r="K23" s="28" t="s">
        <v>388</v>
      </c>
      <c r="L23" s="11"/>
      <c r="M23" s="12"/>
      <c r="N23" s="12"/>
      <c r="O23" s="12"/>
      <c r="P23" s="7">
        <v>88</v>
      </c>
      <c r="Q23" s="7">
        <v>74</v>
      </c>
      <c r="R23" s="7">
        <v>84</v>
      </c>
      <c r="S23" s="7">
        <v>83</v>
      </c>
      <c r="T23" s="7"/>
      <c r="U23" s="7"/>
      <c r="V23" s="7"/>
      <c r="W23" s="7">
        <v>0.85</v>
      </c>
      <c r="X23" s="7"/>
      <c r="Y23" s="17">
        <f>$G23*$P23/100</f>
        <v>49.28</v>
      </c>
      <c r="Z23" s="17">
        <f>$H23-$AB23</f>
        <v>13.520000000000003</v>
      </c>
      <c r="AA23" s="17">
        <f>$G23-$Y23</f>
        <v>6.7199999999999989</v>
      </c>
      <c r="AB23" s="17">
        <f>$H23*$Q23/100</f>
        <v>38.479999999999997</v>
      </c>
      <c r="AC23" s="7">
        <f t="shared" si="8"/>
        <v>0.88</v>
      </c>
      <c r="AD23" s="7">
        <f t="shared" si="9"/>
        <v>0.74</v>
      </c>
      <c r="AE23" s="7">
        <f t="shared" si="10"/>
        <v>0.78471337579617828</v>
      </c>
      <c r="AF23" s="7">
        <f t="shared" si="11"/>
        <v>0.85132743362831864</v>
      </c>
      <c r="AG23" s="7">
        <f t="shared" si="12"/>
        <v>3.3846153846153846</v>
      </c>
      <c r="AH23" s="7">
        <f t="shared" si="13"/>
        <v>0.16216216216216217</v>
      </c>
      <c r="AI23" s="7">
        <f t="shared" si="14"/>
        <v>0.81259259259259253</v>
      </c>
      <c r="AJ23" s="20">
        <f t="shared" si="15"/>
        <v>20.871794871794869</v>
      </c>
    </row>
    <row r="24" spans="2:36" x14ac:dyDescent="0.3">
      <c r="B24" s="6"/>
      <c r="C24" s="8"/>
      <c r="D24" s="6"/>
      <c r="E24" s="10"/>
      <c r="F24" s="6">
        <v>108</v>
      </c>
      <c r="G24" s="15">
        <v>56</v>
      </c>
      <c r="H24" s="6">
        <v>52</v>
      </c>
      <c r="I24" s="6" t="s">
        <v>283</v>
      </c>
      <c r="J24" s="6" t="s">
        <v>266</v>
      </c>
      <c r="K24" s="28" t="s">
        <v>389</v>
      </c>
      <c r="L24" s="11"/>
      <c r="M24" s="12"/>
      <c r="N24" s="12"/>
      <c r="O24" s="12"/>
      <c r="P24" s="7">
        <v>81</v>
      </c>
      <c r="Q24" s="7">
        <v>81</v>
      </c>
      <c r="R24" s="7">
        <v>87</v>
      </c>
      <c r="S24" s="7">
        <v>76</v>
      </c>
      <c r="T24" s="7"/>
      <c r="U24" s="7"/>
      <c r="V24" s="7"/>
      <c r="W24" s="7">
        <v>0.83</v>
      </c>
      <c r="X24" s="7"/>
      <c r="Y24" s="17">
        <f>$G24*$P24/100</f>
        <v>45.36</v>
      </c>
      <c r="Z24" s="17">
        <f>$H24-$AB24</f>
        <v>9.8800000000000026</v>
      </c>
      <c r="AA24" s="17">
        <f>$G24-$Y24</f>
        <v>10.64</v>
      </c>
      <c r="AB24" s="17">
        <f>$H24*$Q24/100</f>
        <v>42.12</v>
      </c>
      <c r="AC24" s="7">
        <f t="shared" si="8"/>
        <v>0.80999999999999994</v>
      </c>
      <c r="AD24" s="7">
        <f t="shared" si="9"/>
        <v>0.80999999999999994</v>
      </c>
      <c r="AE24" s="7">
        <f t="shared" si="10"/>
        <v>0.82114409847936276</v>
      </c>
      <c r="AF24" s="7">
        <f t="shared" si="11"/>
        <v>0.79833206974981041</v>
      </c>
      <c r="AG24" s="7">
        <f t="shared" si="12"/>
        <v>4.2631578947368407</v>
      </c>
      <c r="AH24" s="7">
        <f t="shared" si="13"/>
        <v>0.234567901234568</v>
      </c>
      <c r="AI24" s="7">
        <f t="shared" si="14"/>
        <v>0.80999999999999994</v>
      </c>
      <c r="AJ24" s="20">
        <f t="shared" si="15"/>
        <v>18.174515235457054</v>
      </c>
    </row>
    <row r="25" spans="2:36" x14ac:dyDescent="0.3">
      <c r="B25" s="6">
        <v>13</v>
      </c>
      <c r="C25" s="8" t="s">
        <v>37</v>
      </c>
      <c r="D25" s="6" t="s">
        <v>131</v>
      </c>
      <c r="E25" s="10" t="s">
        <v>206</v>
      </c>
      <c r="F25" s="6">
        <v>238</v>
      </c>
      <c r="G25" s="15">
        <f>55+84</f>
        <v>139</v>
      </c>
      <c r="H25" s="6">
        <f>7+32+60</f>
        <v>99</v>
      </c>
      <c r="I25" s="6" t="s">
        <v>365</v>
      </c>
      <c r="J25" s="6" t="s">
        <v>283</v>
      </c>
      <c r="K25" s="28">
        <v>1.32</v>
      </c>
      <c r="L25" s="11"/>
      <c r="M25" s="12"/>
      <c r="N25" s="12"/>
      <c r="O25" s="12"/>
      <c r="P25" s="7">
        <v>58.99</v>
      </c>
      <c r="Q25" s="7">
        <v>67.680000000000007</v>
      </c>
      <c r="R25" s="7"/>
      <c r="S25" s="7"/>
      <c r="T25" s="7"/>
      <c r="U25" s="7"/>
      <c r="V25" s="7"/>
      <c r="W25" s="7">
        <v>0.64900000000000002</v>
      </c>
      <c r="X25" s="7" t="s">
        <v>159</v>
      </c>
      <c r="Y25" s="17">
        <f>$G25*$P25/100</f>
        <v>81.996100000000013</v>
      </c>
      <c r="Z25" s="17">
        <f>$H25-$AB25</f>
        <v>31.996799999999993</v>
      </c>
      <c r="AA25" s="17">
        <f>$G25-$Y25</f>
        <v>57.003899999999987</v>
      </c>
      <c r="AB25" s="17">
        <f>$H25*$Q25/100</f>
        <v>67.003200000000007</v>
      </c>
      <c r="AC25" s="7">
        <f t="shared" si="8"/>
        <v>0.58990000000000009</v>
      </c>
      <c r="AD25" s="7">
        <f t="shared" si="9"/>
        <v>0.67680000000000007</v>
      </c>
      <c r="AE25" s="7">
        <f t="shared" si="10"/>
        <v>0.71930883414668811</v>
      </c>
      <c r="AF25" s="7">
        <f t="shared" si="11"/>
        <v>0.54031744956538785</v>
      </c>
      <c r="AG25" s="7">
        <f t="shared" si="12"/>
        <v>1.8251856435643572</v>
      </c>
      <c r="AH25" s="7">
        <f t="shared" si="13"/>
        <v>0.60593971631205656</v>
      </c>
      <c r="AI25" s="7">
        <f t="shared" si="14"/>
        <v>0.62604747899159663</v>
      </c>
      <c r="AJ25" s="20">
        <f t="shared" si="15"/>
        <v>3.0121571410981649</v>
      </c>
    </row>
    <row r="26" spans="2:36" x14ac:dyDescent="0.3">
      <c r="B26" s="6"/>
      <c r="C26" s="8"/>
      <c r="D26" s="6"/>
      <c r="E26" s="10"/>
      <c r="F26" s="6">
        <v>238</v>
      </c>
      <c r="G26" s="15">
        <f>55+84</f>
        <v>139</v>
      </c>
      <c r="H26" s="6">
        <f>7+32+60</f>
        <v>99</v>
      </c>
      <c r="I26" s="6" t="s">
        <v>283</v>
      </c>
      <c r="J26" s="6" t="s">
        <v>29</v>
      </c>
      <c r="K26" s="28" t="s">
        <v>390</v>
      </c>
      <c r="L26" s="11"/>
      <c r="M26" s="12"/>
      <c r="N26" s="12"/>
      <c r="O26" s="12"/>
      <c r="P26" s="7">
        <v>66.91</v>
      </c>
      <c r="Q26" s="7">
        <v>95.96</v>
      </c>
      <c r="R26" s="7"/>
      <c r="S26" s="7"/>
      <c r="T26" s="7"/>
      <c r="U26" s="7"/>
      <c r="V26" s="7"/>
      <c r="W26" s="7">
        <v>0.88600000000000001</v>
      </c>
      <c r="X26" s="7" t="s">
        <v>232</v>
      </c>
      <c r="Y26" s="17">
        <f>$G26*$P26/100</f>
        <v>93.004899999999992</v>
      </c>
      <c r="Z26" s="17">
        <f>$H26-$AB26</f>
        <v>3.9996000000000151</v>
      </c>
      <c r="AA26" s="17">
        <f>$G26-$Y26</f>
        <v>45.995100000000008</v>
      </c>
      <c r="AB26" s="17">
        <f>$H26*$Q26/100</f>
        <v>95.000399999999985</v>
      </c>
      <c r="AC26" s="7">
        <f t="shared" si="8"/>
        <v>0.66909999999999992</v>
      </c>
      <c r="AD26" s="7">
        <f t="shared" si="9"/>
        <v>0.9595999999999999</v>
      </c>
      <c r="AE26" s="7">
        <f t="shared" si="10"/>
        <v>0.95876892309119666</v>
      </c>
      <c r="AF26" s="7">
        <f t="shared" si="11"/>
        <v>0.67378320584699503</v>
      </c>
      <c r="AG26" s="7">
        <f t="shared" si="12"/>
        <v>16.561881188118768</v>
      </c>
      <c r="AH26" s="7">
        <f t="shared" si="13"/>
        <v>0.34483117965819104</v>
      </c>
      <c r="AI26" s="7">
        <f t="shared" si="14"/>
        <v>0.78993823529411755</v>
      </c>
      <c r="AJ26" s="20">
        <f t="shared" si="15"/>
        <v>48.028954935384547</v>
      </c>
    </row>
    <row r="27" spans="2:36" x14ac:dyDescent="0.3">
      <c r="B27" s="6"/>
      <c r="C27" s="8"/>
      <c r="D27" s="6" t="s">
        <v>132</v>
      </c>
      <c r="E27" s="10" t="s">
        <v>125</v>
      </c>
      <c r="F27" s="6">
        <v>135</v>
      </c>
      <c r="G27" s="47" t="s">
        <v>208</v>
      </c>
      <c r="H27" s="47" t="s">
        <v>208</v>
      </c>
      <c r="I27" s="6" t="s">
        <v>365</v>
      </c>
      <c r="J27" s="6" t="s">
        <v>283</v>
      </c>
      <c r="K27" s="28">
        <v>1.19</v>
      </c>
      <c r="L27" s="11"/>
      <c r="M27" s="12"/>
      <c r="N27" s="12"/>
      <c r="O27" s="12"/>
      <c r="P27" s="7">
        <v>55</v>
      </c>
      <c r="Q27" s="7">
        <v>67.27</v>
      </c>
      <c r="R27" s="7"/>
      <c r="S27" s="7"/>
      <c r="T27" s="7"/>
      <c r="U27" s="7"/>
      <c r="V27" s="7"/>
      <c r="W27" s="7">
        <v>0.59299999999999997</v>
      </c>
      <c r="X27" s="35" t="s">
        <v>195</v>
      </c>
      <c r="Y27" s="16"/>
      <c r="Z27" s="16"/>
      <c r="AA27" s="16"/>
      <c r="AB27" s="16"/>
      <c r="AC27" s="6"/>
      <c r="AD27" s="6"/>
      <c r="AE27" s="6"/>
      <c r="AF27" s="6"/>
      <c r="AG27" s="6"/>
      <c r="AH27" s="6"/>
      <c r="AI27" s="6"/>
      <c r="AJ27" s="6"/>
    </row>
    <row r="28" spans="2:36" x14ac:dyDescent="0.3">
      <c r="B28" s="6"/>
      <c r="C28" s="8"/>
      <c r="D28" s="6"/>
      <c r="E28" s="10"/>
      <c r="F28" s="6">
        <v>135</v>
      </c>
      <c r="G28" s="47" t="s">
        <v>208</v>
      </c>
      <c r="H28" s="47" t="s">
        <v>208</v>
      </c>
      <c r="I28" s="6" t="s">
        <v>283</v>
      </c>
      <c r="J28" s="6" t="s">
        <v>29</v>
      </c>
      <c r="K28" s="28" t="s">
        <v>391</v>
      </c>
      <c r="L28" s="11"/>
      <c r="M28" s="12"/>
      <c r="N28" s="12"/>
      <c r="O28" s="12"/>
      <c r="P28" s="7">
        <v>63.75</v>
      </c>
      <c r="Q28" s="7">
        <v>94.55</v>
      </c>
      <c r="R28" s="7"/>
      <c r="S28" s="7"/>
      <c r="T28" s="7"/>
      <c r="U28" s="7"/>
      <c r="V28" s="7"/>
      <c r="W28" s="7">
        <v>0.86199999999999999</v>
      </c>
      <c r="X28" s="35" t="s">
        <v>261</v>
      </c>
      <c r="Y28" s="16"/>
      <c r="Z28" s="16"/>
      <c r="AA28" s="16"/>
      <c r="AB28" s="16"/>
      <c r="AC28" s="6"/>
      <c r="AD28" s="6"/>
      <c r="AE28" s="6"/>
      <c r="AF28" s="6"/>
      <c r="AG28" s="6"/>
      <c r="AH28" s="6"/>
      <c r="AI28" s="6"/>
      <c r="AJ28" s="6"/>
    </row>
    <row r="29" spans="2:36" x14ac:dyDescent="0.3">
      <c r="B29" s="6"/>
      <c r="C29" s="8"/>
      <c r="D29" s="6" t="s">
        <v>130</v>
      </c>
      <c r="E29" s="10" t="s">
        <v>120</v>
      </c>
      <c r="F29" s="6">
        <v>75</v>
      </c>
      <c r="G29" s="47" t="s">
        <v>208</v>
      </c>
      <c r="H29" s="47" t="s">
        <v>208</v>
      </c>
      <c r="I29" s="6" t="s">
        <v>365</v>
      </c>
      <c r="J29" s="6" t="s">
        <v>283</v>
      </c>
      <c r="K29" s="28">
        <v>2.21</v>
      </c>
      <c r="L29" s="11"/>
      <c r="M29" s="12"/>
      <c r="N29" s="12"/>
      <c r="O29" s="12"/>
      <c r="P29" s="7">
        <v>59.18</v>
      </c>
      <c r="Q29" s="7">
        <v>92.31</v>
      </c>
      <c r="R29" s="7"/>
      <c r="S29" s="7"/>
      <c r="T29" s="7"/>
      <c r="U29" s="7"/>
      <c r="V29" s="7"/>
      <c r="W29" s="7">
        <v>0.755</v>
      </c>
      <c r="X29" s="35" t="s">
        <v>196</v>
      </c>
      <c r="Y29" s="16"/>
      <c r="Z29" s="16"/>
      <c r="AA29" s="16"/>
      <c r="AB29" s="16"/>
      <c r="AC29" s="6"/>
      <c r="AD29" s="6"/>
      <c r="AE29" s="6"/>
      <c r="AF29" s="6"/>
      <c r="AG29" s="6"/>
      <c r="AH29" s="6"/>
      <c r="AI29" s="6"/>
      <c r="AJ29" s="6"/>
    </row>
    <row r="30" spans="2:36" x14ac:dyDescent="0.3">
      <c r="B30" s="6"/>
      <c r="C30" s="8"/>
      <c r="D30" s="6"/>
      <c r="E30" s="10"/>
      <c r="F30" s="6">
        <v>75</v>
      </c>
      <c r="G30" s="47" t="s">
        <v>208</v>
      </c>
      <c r="H30" s="47" t="s">
        <v>208</v>
      </c>
      <c r="I30" s="6" t="s">
        <v>283</v>
      </c>
      <c r="J30" s="6" t="s">
        <v>29</v>
      </c>
      <c r="K30" s="28" t="s">
        <v>392</v>
      </c>
      <c r="L30" s="11"/>
      <c r="M30" s="12"/>
      <c r="N30" s="12"/>
      <c r="O30" s="12"/>
      <c r="P30" s="7">
        <v>69.39</v>
      </c>
      <c r="Q30" s="7">
        <v>96.15</v>
      </c>
      <c r="R30" s="7"/>
      <c r="S30" s="7"/>
      <c r="T30" s="7"/>
      <c r="U30" s="7"/>
      <c r="V30" s="7"/>
      <c r="W30" s="7">
        <v>0.879</v>
      </c>
      <c r="X30" s="35" t="s">
        <v>262</v>
      </c>
      <c r="Y30" s="16"/>
      <c r="Z30" s="16"/>
      <c r="AA30" s="16"/>
      <c r="AB30" s="16"/>
      <c r="AC30" s="6"/>
      <c r="AD30" s="6"/>
      <c r="AE30" s="6"/>
      <c r="AF30" s="6"/>
      <c r="AG30" s="6"/>
      <c r="AH30" s="6"/>
      <c r="AI30" s="6"/>
      <c r="AJ30" s="6"/>
    </row>
    <row r="31" spans="2:36" x14ac:dyDescent="0.3">
      <c r="B31" s="6">
        <v>14</v>
      </c>
      <c r="C31" s="8" t="s">
        <v>38</v>
      </c>
      <c r="D31" s="6" t="s">
        <v>131</v>
      </c>
      <c r="E31" s="10" t="s">
        <v>190</v>
      </c>
      <c r="F31" s="6">
        <v>70</v>
      </c>
      <c r="G31" s="47">
        <f>11+25</f>
        <v>36</v>
      </c>
      <c r="H31" s="41">
        <f>4+13+17</f>
        <v>34</v>
      </c>
      <c r="I31" s="6" t="s">
        <v>365</v>
      </c>
      <c r="J31" s="6" t="s">
        <v>283</v>
      </c>
      <c r="K31" s="28">
        <v>1.32</v>
      </c>
      <c r="L31" s="11"/>
      <c r="M31" s="12"/>
      <c r="N31" s="12"/>
      <c r="O31" s="12"/>
      <c r="P31" s="7">
        <v>72.2</v>
      </c>
      <c r="Q31" s="7">
        <v>61.76</v>
      </c>
      <c r="R31" s="7"/>
      <c r="S31" s="7"/>
      <c r="T31" s="7"/>
      <c r="U31" s="7"/>
      <c r="V31" s="7"/>
      <c r="W31" s="7">
        <v>0.71199999999999997</v>
      </c>
      <c r="X31" s="35" t="s">
        <v>155</v>
      </c>
      <c r="Y31" s="17">
        <f>$G31*$P31/100</f>
        <v>25.992000000000004</v>
      </c>
      <c r="Z31" s="17">
        <f>$H31-$AB31</f>
        <v>13.0016</v>
      </c>
      <c r="AA31" s="17">
        <f>$G31-$Y31</f>
        <v>10.007999999999996</v>
      </c>
      <c r="AB31" s="17">
        <f>$H31*$Q31/100</f>
        <v>20.9984</v>
      </c>
      <c r="AC31" s="7">
        <f t="shared" si="8"/>
        <v>0.72200000000000009</v>
      </c>
      <c r="AD31" s="7">
        <f t="shared" si="9"/>
        <v>0.61760000000000004</v>
      </c>
      <c r="AE31" s="7">
        <f t="shared" si="10"/>
        <v>0.66657092445939858</v>
      </c>
      <c r="AF31" s="7">
        <f t="shared" si="11"/>
        <v>0.67722792713762325</v>
      </c>
      <c r="AG31" s="7">
        <f t="shared" si="12"/>
        <v>1.8880753138075317</v>
      </c>
      <c r="AH31" s="7">
        <f t="shared" si="13"/>
        <v>0.4501295336787563</v>
      </c>
      <c r="AI31" s="7">
        <f t="shared" si="14"/>
        <v>0.67129142857142865</v>
      </c>
      <c r="AJ31" s="20">
        <f t="shared" si="15"/>
        <v>4.194515517293282</v>
      </c>
    </row>
    <row r="32" spans="2:36" x14ac:dyDescent="0.3">
      <c r="B32" s="6"/>
      <c r="C32" s="8"/>
      <c r="D32" s="6"/>
      <c r="E32" s="10"/>
      <c r="F32" s="6">
        <v>70</v>
      </c>
      <c r="G32" s="47">
        <f>11+25</f>
        <v>36</v>
      </c>
      <c r="H32" s="41">
        <f>4+13+17</f>
        <v>34</v>
      </c>
      <c r="I32" s="6" t="s">
        <v>283</v>
      </c>
      <c r="J32" s="6" t="s">
        <v>136</v>
      </c>
      <c r="K32" s="28" t="s">
        <v>393</v>
      </c>
      <c r="L32" s="11"/>
      <c r="M32" s="12"/>
      <c r="N32" s="12"/>
      <c r="O32" s="12"/>
      <c r="P32" s="7">
        <v>86.11</v>
      </c>
      <c r="Q32" s="7">
        <v>70.59</v>
      </c>
      <c r="R32" s="7"/>
      <c r="S32" s="7"/>
      <c r="T32" s="7"/>
      <c r="U32" s="7"/>
      <c r="V32" s="7"/>
      <c r="W32" s="7">
        <v>0.79100000000000004</v>
      </c>
      <c r="X32" s="35" t="s">
        <v>235</v>
      </c>
      <c r="Y32" s="17">
        <f>$G32*$P32/100</f>
        <v>30.999600000000001</v>
      </c>
      <c r="Z32" s="17">
        <f>$H32-$AB32</f>
        <v>9.9994000000000014</v>
      </c>
      <c r="AA32" s="17">
        <f>$G32-$Y32</f>
        <v>5.0003999999999991</v>
      </c>
      <c r="AB32" s="17">
        <f>$H32*$Q32/100</f>
        <v>24.000599999999999</v>
      </c>
      <c r="AC32" s="7">
        <f t="shared" si="8"/>
        <v>0.86109999999999998</v>
      </c>
      <c r="AD32" s="7">
        <f t="shared" si="9"/>
        <v>0.70589999999999997</v>
      </c>
      <c r="AE32" s="7">
        <f t="shared" si="10"/>
        <v>0.75610624649381686</v>
      </c>
      <c r="AF32" s="7">
        <f t="shared" si="11"/>
        <v>0.82757835936691837</v>
      </c>
      <c r="AG32" s="7">
        <f t="shared" si="12"/>
        <v>2.927915674940496</v>
      </c>
      <c r="AH32" s="7">
        <f t="shared" si="13"/>
        <v>0.19677008074798133</v>
      </c>
      <c r="AI32" s="7">
        <f t="shared" si="14"/>
        <v>0.78571714285714289</v>
      </c>
      <c r="AJ32" s="20">
        <f t="shared" si="15"/>
        <v>14.879882468974055</v>
      </c>
    </row>
    <row r="33" spans="2:36" x14ac:dyDescent="0.3">
      <c r="B33" s="6"/>
      <c r="C33" s="8"/>
      <c r="D33" s="6" t="s">
        <v>132</v>
      </c>
      <c r="E33" s="10" t="s">
        <v>125</v>
      </c>
      <c r="F33" s="6">
        <v>33</v>
      </c>
      <c r="G33" s="47" t="s">
        <v>208</v>
      </c>
      <c r="H33" s="47" t="s">
        <v>208</v>
      </c>
      <c r="I33" s="6" t="s">
        <v>365</v>
      </c>
      <c r="J33" s="6" t="s">
        <v>283</v>
      </c>
      <c r="K33" s="46">
        <v>0.96</v>
      </c>
      <c r="L33" s="11"/>
      <c r="M33" s="12"/>
      <c r="N33" s="12"/>
      <c r="O33" s="12"/>
      <c r="P33" s="7">
        <v>81.25</v>
      </c>
      <c r="Q33" s="7">
        <v>58.82</v>
      </c>
      <c r="R33" s="7"/>
      <c r="S33" s="7"/>
      <c r="T33" s="7"/>
      <c r="U33" s="7"/>
      <c r="V33" s="7"/>
      <c r="W33" s="7">
        <v>0.65100000000000002</v>
      </c>
      <c r="X33" s="35" t="s">
        <v>203</v>
      </c>
      <c r="Y33" s="16"/>
      <c r="Z33" s="16"/>
      <c r="AA33" s="16"/>
      <c r="AB33" s="16"/>
      <c r="AC33" s="6"/>
      <c r="AD33" s="6"/>
      <c r="AE33" s="6"/>
      <c r="AF33" s="6"/>
      <c r="AG33" s="6"/>
      <c r="AH33" s="6"/>
      <c r="AI33" s="6"/>
      <c r="AJ33" s="6"/>
    </row>
    <row r="34" spans="2:36" x14ac:dyDescent="0.3">
      <c r="B34" s="6"/>
      <c r="C34" s="8"/>
      <c r="D34" s="6"/>
      <c r="E34" s="10"/>
      <c r="F34" s="6">
        <v>33</v>
      </c>
      <c r="G34" s="47" t="s">
        <v>208</v>
      </c>
      <c r="H34" s="47" t="s">
        <v>208</v>
      </c>
      <c r="I34" s="6" t="s">
        <v>283</v>
      </c>
      <c r="J34" s="6" t="s">
        <v>136</v>
      </c>
      <c r="K34" s="46">
        <v>1.89</v>
      </c>
      <c r="L34" s="11"/>
      <c r="M34" s="12"/>
      <c r="N34" s="12"/>
      <c r="O34" s="12"/>
      <c r="P34" s="7">
        <v>87.5</v>
      </c>
      <c r="Q34" s="7">
        <v>76.47</v>
      </c>
      <c r="R34" s="7"/>
      <c r="S34" s="7"/>
      <c r="T34" s="7"/>
      <c r="U34" s="7"/>
      <c r="V34" s="7"/>
      <c r="W34" s="7">
        <v>0.81599999999999995</v>
      </c>
      <c r="X34" s="35" t="s">
        <v>238</v>
      </c>
      <c r="Y34" s="16"/>
      <c r="Z34" s="16"/>
      <c r="AA34" s="16"/>
      <c r="AB34" s="16"/>
      <c r="AC34" s="6"/>
      <c r="AD34" s="6"/>
      <c r="AE34" s="6"/>
      <c r="AF34" s="6"/>
      <c r="AG34" s="6"/>
      <c r="AH34" s="6"/>
      <c r="AI34" s="6"/>
      <c r="AJ34" s="6"/>
    </row>
    <row r="35" spans="2:36" x14ac:dyDescent="0.3">
      <c r="B35" s="6"/>
      <c r="C35" s="8"/>
      <c r="D35" s="6" t="s">
        <v>130</v>
      </c>
      <c r="E35" s="10" t="s">
        <v>120</v>
      </c>
      <c r="F35" s="6" t="s">
        <v>281</v>
      </c>
      <c r="G35" s="47" t="s">
        <v>208</v>
      </c>
      <c r="H35" s="47" t="s">
        <v>208</v>
      </c>
      <c r="I35" s="6" t="s">
        <v>365</v>
      </c>
      <c r="J35" s="6" t="s">
        <v>283</v>
      </c>
      <c r="K35" s="46">
        <v>2.21</v>
      </c>
      <c r="L35" s="11"/>
      <c r="M35" s="12"/>
      <c r="N35" s="12"/>
      <c r="O35" s="12"/>
      <c r="P35" s="7">
        <v>72.22</v>
      </c>
      <c r="Q35" s="7">
        <v>100</v>
      </c>
      <c r="R35" s="7"/>
      <c r="S35" s="7"/>
      <c r="T35" s="7"/>
      <c r="U35" s="7"/>
      <c r="V35" s="7"/>
      <c r="W35" s="7">
        <v>0.83599999999999997</v>
      </c>
      <c r="X35" s="35" t="s">
        <v>204</v>
      </c>
      <c r="Y35" s="16"/>
      <c r="Z35" s="16"/>
      <c r="AA35" s="16"/>
      <c r="AB35" s="16"/>
      <c r="AC35" s="6"/>
      <c r="AD35" s="6"/>
      <c r="AE35" s="6"/>
      <c r="AF35" s="6"/>
      <c r="AG35" s="6"/>
      <c r="AH35" s="6"/>
      <c r="AI35" s="6"/>
      <c r="AJ35" s="6"/>
    </row>
    <row r="36" spans="2:36" x14ac:dyDescent="0.3">
      <c r="B36" s="6"/>
      <c r="C36" s="8"/>
      <c r="D36" s="6"/>
      <c r="E36" s="10"/>
      <c r="F36" s="6" t="s">
        <v>281</v>
      </c>
      <c r="G36" s="47" t="s">
        <v>208</v>
      </c>
      <c r="H36" s="47" t="s">
        <v>208</v>
      </c>
      <c r="I36" s="6" t="s">
        <v>283</v>
      </c>
      <c r="J36" s="6" t="s">
        <v>136</v>
      </c>
      <c r="K36" s="28">
        <v>2.0299999999999998</v>
      </c>
      <c r="L36" s="11"/>
      <c r="M36" s="12"/>
      <c r="N36" s="12"/>
      <c r="O36" s="12"/>
      <c r="P36" s="7">
        <v>77.78</v>
      </c>
      <c r="Q36" s="7">
        <v>60</v>
      </c>
      <c r="R36" s="7"/>
      <c r="S36" s="7"/>
      <c r="T36" s="7"/>
      <c r="U36" s="7"/>
      <c r="V36" s="7"/>
      <c r="W36" s="7">
        <v>0.69399999999999995</v>
      </c>
      <c r="X36" s="35" t="s">
        <v>239</v>
      </c>
      <c r="Y36" s="16"/>
      <c r="Z36" s="16"/>
      <c r="AA36" s="16"/>
      <c r="AB36" s="16"/>
      <c r="AC36" s="6"/>
      <c r="AD36" s="6"/>
      <c r="AE36" s="6"/>
      <c r="AF36" s="6"/>
      <c r="AG36" s="6"/>
      <c r="AH36" s="6"/>
      <c r="AI36" s="6"/>
      <c r="AJ36" s="6"/>
    </row>
    <row r="37" spans="2:36" x14ac:dyDescent="0.3">
      <c r="B37" s="6">
        <v>15</v>
      </c>
      <c r="C37" s="8" t="s">
        <v>40</v>
      </c>
      <c r="D37" s="6" t="s">
        <v>131</v>
      </c>
      <c r="E37" s="10" t="s">
        <v>126</v>
      </c>
      <c r="F37" s="6">
        <v>53</v>
      </c>
      <c r="G37" s="6" t="s">
        <v>283</v>
      </c>
      <c r="H37" s="6" t="s">
        <v>283</v>
      </c>
      <c r="I37" s="6" t="s">
        <v>365</v>
      </c>
      <c r="J37" s="6" t="s">
        <v>283</v>
      </c>
      <c r="K37" s="28" t="s">
        <v>283</v>
      </c>
      <c r="L37" s="31" t="s">
        <v>283</v>
      </c>
      <c r="M37" s="16" t="s">
        <v>283</v>
      </c>
      <c r="N37" s="16" t="s">
        <v>283</v>
      </c>
      <c r="O37" s="16" t="s">
        <v>283</v>
      </c>
      <c r="P37" s="6" t="s">
        <v>283</v>
      </c>
      <c r="Q37" s="6" t="s">
        <v>283</v>
      </c>
      <c r="R37" s="6" t="s">
        <v>283</v>
      </c>
      <c r="S37" s="6" t="s">
        <v>283</v>
      </c>
      <c r="T37" s="6" t="s">
        <v>283</v>
      </c>
      <c r="U37" s="6" t="s">
        <v>283</v>
      </c>
      <c r="V37" s="6" t="s">
        <v>283</v>
      </c>
      <c r="W37" s="6" t="s">
        <v>283</v>
      </c>
      <c r="X37" s="6" t="s">
        <v>283</v>
      </c>
      <c r="Y37" s="16" t="s">
        <v>283</v>
      </c>
      <c r="Z37" s="16" t="s">
        <v>283</v>
      </c>
      <c r="AA37" s="16" t="s">
        <v>283</v>
      </c>
      <c r="AB37" s="16" t="s">
        <v>283</v>
      </c>
      <c r="AC37" s="6" t="s">
        <v>283</v>
      </c>
      <c r="AD37" s="6" t="s">
        <v>283</v>
      </c>
      <c r="AE37" s="6" t="s">
        <v>283</v>
      </c>
      <c r="AF37" s="6" t="s">
        <v>283</v>
      </c>
      <c r="AG37" s="6" t="s">
        <v>283</v>
      </c>
      <c r="AH37" s="6" t="s">
        <v>283</v>
      </c>
      <c r="AI37" s="6" t="s">
        <v>283</v>
      </c>
      <c r="AJ37" s="21" t="s">
        <v>283</v>
      </c>
    </row>
    <row r="38" spans="2:36" x14ac:dyDescent="0.3">
      <c r="B38" s="6">
        <v>16</v>
      </c>
      <c r="C38" s="8" t="s">
        <v>43</v>
      </c>
      <c r="D38" s="6" t="s">
        <v>131</v>
      </c>
      <c r="E38" s="10" t="s">
        <v>124</v>
      </c>
      <c r="F38" s="6">
        <v>116</v>
      </c>
      <c r="G38" s="15">
        <f>5+1</f>
        <v>6</v>
      </c>
      <c r="H38" s="6">
        <f>65+29+16</f>
        <v>110</v>
      </c>
      <c r="I38" s="6" t="s">
        <v>365</v>
      </c>
      <c r="J38" s="6" t="s">
        <v>283</v>
      </c>
      <c r="K38" s="28">
        <v>1.04</v>
      </c>
      <c r="L38" s="11"/>
      <c r="M38" s="12"/>
      <c r="N38" s="12"/>
      <c r="O38" s="12"/>
      <c r="P38" s="7">
        <v>100</v>
      </c>
      <c r="Q38" s="7">
        <v>73.599999999999994</v>
      </c>
      <c r="R38" s="7"/>
      <c r="S38" s="7"/>
      <c r="T38" s="7"/>
      <c r="U38" s="7"/>
      <c r="V38" s="7"/>
      <c r="W38" s="7">
        <v>0.9</v>
      </c>
      <c r="X38" s="7" t="s">
        <v>158</v>
      </c>
      <c r="Y38" s="17">
        <f>$G38*$P38/100</f>
        <v>6</v>
      </c>
      <c r="Z38" s="17">
        <f>$H38-$AB38</f>
        <v>29.040000000000006</v>
      </c>
      <c r="AA38" s="17">
        <f>$G38-$Y38</f>
        <v>0</v>
      </c>
      <c r="AB38" s="17">
        <f>$H38*$Q38/100</f>
        <v>80.959999999999994</v>
      </c>
      <c r="AC38" s="7">
        <f t="shared" si="8"/>
        <v>1</v>
      </c>
      <c r="AD38" s="7">
        <f t="shared" si="9"/>
        <v>0.73599999999999999</v>
      </c>
      <c r="AE38" s="7">
        <f t="shared" si="10"/>
        <v>0.17123287671232873</v>
      </c>
      <c r="AF38" s="7">
        <f t="shared" si="11"/>
        <v>1</v>
      </c>
      <c r="AG38" s="7">
        <f t="shared" si="12"/>
        <v>3.7878787878787876</v>
      </c>
      <c r="AH38" s="7">
        <f t="shared" si="13"/>
        <v>0</v>
      </c>
      <c r="AI38" s="7">
        <f t="shared" si="14"/>
        <v>0.74965517241379309</v>
      </c>
      <c r="AJ38" s="21" t="s">
        <v>134</v>
      </c>
    </row>
    <row r="39" spans="2:36" x14ac:dyDescent="0.3">
      <c r="B39" s="6">
        <v>17</v>
      </c>
      <c r="C39" s="8" t="s">
        <v>44</v>
      </c>
      <c r="D39" s="6" t="s">
        <v>132</v>
      </c>
      <c r="E39" s="10" t="s">
        <v>125</v>
      </c>
      <c r="F39" s="6">
        <v>160</v>
      </c>
      <c r="G39" s="15">
        <f>25+26</f>
        <v>51</v>
      </c>
      <c r="H39" s="6">
        <f>21+51+37</f>
        <v>109</v>
      </c>
      <c r="I39" s="6" t="s">
        <v>365</v>
      </c>
      <c r="J39" s="6" t="s">
        <v>283</v>
      </c>
      <c r="K39" s="28">
        <v>1.5349999999999999</v>
      </c>
      <c r="L39" s="11"/>
      <c r="M39" s="12"/>
      <c r="N39" s="12"/>
      <c r="O39" s="12"/>
      <c r="P39" s="7">
        <v>66.7</v>
      </c>
      <c r="Q39" s="7">
        <v>79.8</v>
      </c>
      <c r="R39" s="7">
        <v>60.7</v>
      </c>
      <c r="S39" s="7">
        <v>83.7</v>
      </c>
      <c r="T39" s="7"/>
      <c r="U39" s="7"/>
      <c r="V39" s="7">
        <v>75.599999999999994</v>
      </c>
      <c r="W39" s="7">
        <v>0.78500000000000003</v>
      </c>
      <c r="X39" s="7"/>
      <c r="Y39" s="17">
        <f>$G39*$P39/100</f>
        <v>34.017000000000003</v>
      </c>
      <c r="Z39" s="17">
        <f>$H39-$AB39</f>
        <v>22.018000000000015</v>
      </c>
      <c r="AA39" s="17">
        <f>$G39-$Y39</f>
        <v>16.982999999999997</v>
      </c>
      <c r="AB39" s="17">
        <f>$H39*$Q39/100</f>
        <v>86.981999999999985</v>
      </c>
      <c r="AC39" s="7">
        <f t="shared" si="8"/>
        <v>0.66700000000000004</v>
      </c>
      <c r="AD39" s="7">
        <f t="shared" si="9"/>
        <v>0.79799999999999982</v>
      </c>
      <c r="AE39" s="7">
        <f t="shared" si="10"/>
        <v>0.60706701168912269</v>
      </c>
      <c r="AF39" s="7">
        <f t="shared" si="11"/>
        <v>0.83664694849228116</v>
      </c>
      <c r="AG39" s="7">
        <f t="shared" si="12"/>
        <v>3.3019801980197991</v>
      </c>
      <c r="AH39" s="7">
        <f t="shared" si="13"/>
        <v>0.41729323308270683</v>
      </c>
      <c r="AI39" s="7">
        <f t="shared" si="14"/>
        <v>0.75624374999999999</v>
      </c>
      <c r="AJ39" s="20">
        <f t="shared" si="15"/>
        <v>7.912853447506909</v>
      </c>
    </row>
    <row r="40" spans="2:36" x14ac:dyDescent="0.3">
      <c r="B40" s="6">
        <v>18</v>
      </c>
      <c r="C40" s="8" t="s">
        <v>45</v>
      </c>
      <c r="D40" s="6" t="s">
        <v>18</v>
      </c>
      <c r="E40" s="10" t="s">
        <v>123</v>
      </c>
      <c r="F40" s="6">
        <v>137</v>
      </c>
      <c r="G40" s="6" t="s">
        <v>283</v>
      </c>
      <c r="H40" s="6" t="s">
        <v>283</v>
      </c>
      <c r="I40" s="6" t="s">
        <v>365</v>
      </c>
      <c r="J40" s="6" t="s">
        <v>283</v>
      </c>
      <c r="K40" s="28" t="s">
        <v>283</v>
      </c>
      <c r="L40" s="31" t="s">
        <v>283</v>
      </c>
      <c r="M40" s="16" t="s">
        <v>283</v>
      </c>
      <c r="N40" s="16" t="s">
        <v>283</v>
      </c>
      <c r="O40" s="16" t="s">
        <v>283</v>
      </c>
      <c r="P40" s="6" t="s">
        <v>283</v>
      </c>
      <c r="Q40" s="6" t="s">
        <v>283</v>
      </c>
      <c r="R40" s="6" t="s">
        <v>283</v>
      </c>
      <c r="S40" s="6" t="s">
        <v>283</v>
      </c>
      <c r="T40" s="6" t="s">
        <v>283</v>
      </c>
      <c r="U40" s="6" t="s">
        <v>283</v>
      </c>
      <c r="V40" s="6" t="s">
        <v>283</v>
      </c>
      <c r="W40" s="6" t="s">
        <v>283</v>
      </c>
      <c r="X40" s="6" t="s">
        <v>283</v>
      </c>
      <c r="Y40" s="16" t="s">
        <v>283</v>
      </c>
      <c r="Z40" s="16" t="s">
        <v>283</v>
      </c>
      <c r="AA40" s="16" t="s">
        <v>283</v>
      </c>
      <c r="AB40" s="16" t="s">
        <v>283</v>
      </c>
      <c r="AC40" s="6" t="s">
        <v>283</v>
      </c>
      <c r="AD40" s="6" t="s">
        <v>283</v>
      </c>
      <c r="AE40" s="6" t="s">
        <v>283</v>
      </c>
      <c r="AF40" s="6" t="s">
        <v>283</v>
      </c>
      <c r="AG40" s="6" t="s">
        <v>283</v>
      </c>
      <c r="AH40" s="6" t="s">
        <v>283</v>
      </c>
      <c r="AI40" s="6" t="s">
        <v>283</v>
      </c>
      <c r="AJ40" s="21" t="s">
        <v>283</v>
      </c>
    </row>
    <row r="41" spans="2:36" x14ac:dyDescent="0.3">
      <c r="B41" s="6">
        <v>19</v>
      </c>
      <c r="C41" s="8" t="s">
        <v>47</v>
      </c>
      <c r="D41" s="6" t="s">
        <v>18</v>
      </c>
      <c r="E41" s="10" t="s">
        <v>123</v>
      </c>
      <c r="F41" s="6">
        <v>213</v>
      </c>
      <c r="G41" s="15">
        <f>17+23</f>
        <v>40</v>
      </c>
      <c r="H41" s="6">
        <f>136+37</f>
        <v>173</v>
      </c>
      <c r="I41" s="6" t="s">
        <v>365</v>
      </c>
      <c r="J41" s="6" t="s">
        <v>283</v>
      </c>
      <c r="K41" s="28">
        <v>1.23</v>
      </c>
      <c r="L41" s="11"/>
      <c r="M41" s="12"/>
      <c r="N41" s="12"/>
      <c r="O41" s="12"/>
      <c r="P41" s="7">
        <v>75</v>
      </c>
      <c r="Q41" s="7">
        <v>79.2</v>
      </c>
      <c r="R41" s="7">
        <v>45.5</v>
      </c>
      <c r="S41" s="7">
        <v>93.2</v>
      </c>
      <c r="T41" s="7"/>
      <c r="U41" s="7"/>
      <c r="V41" s="7">
        <v>78.400000000000006</v>
      </c>
      <c r="W41" s="7">
        <v>0.82499999999999996</v>
      </c>
      <c r="X41" s="7"/>
      <c r="Y41" s="17">
        <f t="shared" ref="Y41:Y56" si="16">$G41*$P41/100</f>
        <v>30</v>
      </c>
      <c r="Z41" s="17">
        <f t="shared" ref="Z41:Z56" si="17">$H41-$AB41</f>
        <v>35.984000000000009</v>
      </c>
      <c r="AA41" s="17">
        <f t="shared" ref="AA41:AA56" si="18">$G41-$Y41</f>
        <v>10</v>
      </c>
      <c r="AB41" s="17">
        <f t="shared" ref="AB41:AB56" si="19">$H41*$Q41/100</f>
        <v>137.01599999999999</v>
      </c>
      <c r="AC41" s="7">
        <f t="shared" si="8"/>
        <v>0.75</v>
      </c>
      <c r="AD41" s="7">
        <f t="shared" si="9"/>
        <v>0.79199999999999993</v>
      </c>
      <c r="AE41" s="7">
        <f t="shared" si="10"/>
        <v>0.45465567410281277</v>
      </c>
      <c r="AF41" s="7">
        <f t="shared" si="11"/>
        <v>0.93198019263209442</v>
      </c>
      <c r="AG41" s="7">
        <f t="shared" si="12"/>
        <v>3.6057692307692295</v>
      </c>
      <c r="AH41" s="7">
        <f t="shared" si="13"/>
        <v>0.31565656565656569</v>
      </c>
      <c r="AI41" s="7">
        <f t="shared" si="14"/>
        <v>0.78411267605633794</v>
      </c>
      <c r="AJ41" s="20">
        <f t="shared" si="15"/>
        <v>11.42307692307692</v>
      </c>
    </row>
    <row r="42" spans="2:36" x14ac:dyDescent="0.3">
      <c r="B42" s="6">
        <v>20</v>
      </c>
      <c r="C42" s="8" t="s">
        <v>50</v>
      </c>
      <c r="D42" s="6" t="s">
        <v>130</v>
      </c>
      <c r="E42" s="10" t="s">
        <v>120</v>
      </c>
      <c r="F42" s="6">
        <v>122</v>
      </c>
      <c r="G42" s="15">
        <f>20+9</f>
        <v>29</v>
      </c>
      <c r="H42" s="6">
        <f>27+66</f>
        <v>93</v>
      </c>
      <c r="I42" s="6" t="s">
        <v>365</v>
      </c>
      <c r="J42" s="6" t="s">
        <v>283</v>
      </c>
      <c r="K42" s="28">
        <v>2.19</v>
      </c>
      <c r="L42" s="11"/>
      <c r="M42" s="12"/>
      <c r="N42" s="12"/>
      <c r="O42" s="12"/>
      <c r="P42" s="7">
        <v>93.1</v>
      </c>
      <c r="Q42" s="7">
        <v>63</v>
      </c>
      <c r="R42" s="7"/>
      <c r="S42" s="7"/>
      <c r="T42" s="7">
        <v>2.57</v>
      </c>
      <c r="U42" s="7">
        <v>0.08</v>
      </c>
      <c r="V42" s="7"/>
      <c r="W42" s="7">
        <v>0.84219999999999995</v>
      </c>
      <c r="X42" s="7" t="s">
        <v>212</v>
      </c>
      <c r="Y42" s="17">
        <f t="shared" si="16"/>
        <v>26.998999999999995</v>
      </c>
      <c r="Z42" s="17">
        <f t="shared" si="17"/>
        <v>34.409999999999997</v>
      </c>
      <c r="AA42" s="17">
        <f t="shared" si="18"/>
        <v>2.0010000000000048</v>
      </c>
      <c r="AB42" s="17">
        <f t="shared" si="19"/>
        <v>58.59</v>
      </c>
      <c r="AC42" s="7">
        <f t="shared" si="8"/>
        <v>0.93099999999999983</v>
      </c>
      <c r="AD42" s="7">
        <f t="shared" si="9"/>
        <v>0.63</v>
      </c>
      <c r="AE42" s="7">
        <f t="shared" si="10"/>
        <v>0.43965868195215685</v>
      </c>
      <c r="AF42" s="7">
        <f t="shared" si="11"/>
        <v>0.9669752933604</v>
      </c>
      <c r="AG42" s="7">
        <f t="shared" si="12"/>
        <v>2.5162162162162156</v>
      </c>
      <c r="AH42" s="7">
        <f t="shared" si="13"/>
        <v>0.1095238095238098</v>
      </c>
      <c r="AI42" s="7">
        <f t="shared" si="14"/>
        <v>0.70154918032786884</v>
      </c>
      <c r="AJ42" s="20">
        <f t="shared" si="15"/>
        <v>22.974148061104525</v>
      </c>
    </row>
    <row r="43" spans="2:36" x14ac:dyDescent="0.3">
      <c r="B43" s="6"/>
      <c r="C43" s="8"/>
      <c r="D43" s="6"/>
      <c r="E43" s="10"/>
      <c r="F43" s="6">
        <v>122</v>
      </c>
      <c r="G43" s="15">
        <f>20+9</f>
        <v>29</v>
      </c>
      <c r="H43" s="6">
        <f>27+66</f>
        <v>93</v>
      </c>
      <c r="I43" s="6" t="s">
        <v>365</v>
      </c>
      <c r="J43" s="6" t="s">
        <v>283</v>
      </c>
      <c r="K43" s="28">
        <v>4.25</v>
      </c>
      <c r="L43" s="11"/>
      <c r="M43" s="12"/>
      <c r="N43" s="12"/>
      <c r="O43" s="12"/>
      <c r="P43" s="7">
        <v>55.2</v>
      </c>
      <c r="Q43" s="7">
        <v>85.9</v>
      </c>
      <c r="R43" s="7"/>
      <c r="S43" s="7"/>
      <c r="T43" s="7">
        <v>3.9</v>
      </c>
      <c r="U43" s="7">
        <v>0.52</v>
      </c>
      <c r="V43" s="7"/>
      <c r="W43" s="7">
        <v>0.84219999999999995</v>
      </c>
      <c r="X43" s="7" t="s">
        <v>212</v>
      </c>
      <c r="Y43" s="17">
        <f t="shared" si="16"/>
        <v>16.008000000000003</v>
      </c>
      <c r="Z43" s="17">
        <f t="shared" si="17"/>
        <v>13.113</v>
      </c>
      <c r="AA43" s="17">
        <f t="shared" si="18"/>
        <v>12.991999999999997</v>
      </c>
      <c r="AB43" s="17">
        <f t="shared" si="19"/>
        <v>79.887</v>
      </c>
      <c r="AC43" s="7">
        <f t="shared" si="8"/>
        <v>0.55200000000000005</v>
      </c>
      <c r="AD43" s="7">
        <f t="shared" si="9"/>
        <v>0.85899999999999999</v>
      </c>
      <c r="AE43" s="7">
        <f t="shared" si="10"/>
        <v>0.54970639744514271</v>
      </c>
      <c r="AF43" s="7">
        <f t="shared" si="11"/>
        <v>0.86011907966278711</v>
      </c>
      <c r="AG43" s="7">
        <f t="shared" si="12"/>
        <v>3.9148936170212765</v>
      </c>
      <c r="AH43" s="7">
        <f t="shared" si="13"/>
        <v>0.52153667054714781</v>
      </c>
      <c r="AI43" s="7">
        <f t="shared" si="14"/>
        <v>0.78602459016393456</v>
      </c>
      <c r="AJ43" s="20">
        <f t="shared" si="15"/>
        <v>7.5064589665653516</v>
      </c>
    </row>
    <row r="44" spans="2:36" x14ac:dyDescent="0.3">
      <c r="B44" s="6"/>
      <c r="C44" s="8"/>
      <c r="D44" s="6"/>
      <c r="E44" s="10"/>
      <c r="F44" s="6">
        <v>122</v>
      </c>
      <c r="G44" s="15">
        <f>20+9</f>
        <v>29</v>
      </c>
      <c r="H44" s="6">
        <f>27+66</f>
        <v>93</v>
      </c>
      <c r="I44" s="6" t="s">
        <v>283</v>
      </c>
      <c r="J44" s="6" t="s">
        <v>135</v>
      </c>
      <c r="K44" s="28">
        <v>9.9700000000000006</v>
      </c>
      <c r="L44" s="11"/>
      <c r="M44" s="12"/>
      <c r="N44" s="12"/>
      <c r="O44" s="12"/>
      <c r="P44" s="7">
        <v>85.7</v>
      </c>
      <c r="Q44" s="7">
        <v>61.5</v>
      </c>
      <c r="R44" s="7"/>
      <c r="S44" s="7"/>
      <c r="T44" s="7">
        <v>2.17</v>
      </c>
      <c r="U44" s="7">
        <v>0.24</v>
      </c>
      <c r="V44" s="7"/>
      <c r="W44" s="7">
        <v>0.80830000000000002</v>
      </c>
      <c r="X44" s="7" t="s">
        <v>243</v>
      </c>
      <c r="Y44" s="17">
        <f t="shared" si="16"/>
        <v>24.853000000000002</v>
      </c>
      <c r="Z44" s="17">
        <f t="shared" si="17"/>
        <v>35.805</v>
      </c>
      <c r="AA44" s="17">
        <f t="shared" si="18"/>
        <v>4.1469999999999985</v>
      </c>
      <c r="AB44" s="17">
        <f t="shared" si="19"/>
        <v>57.195</v>
      </c>
      <c r="AC44" s="7">
        <f t="shared" si="8"/>
        <v>0.8570000000000001</v>
      </c>
      <c r="AD44" s="7">
        <f t="shared" si="9"/>
        <v>0.61499999999999999</v>
      </c>
      <c r="AE44" s="7">
        <f t="shared" si="10"/>
        <v>0.40972336707441726</v>
      </c>
      <c r="AF44" s="7">
        <f t="shared" si="11"/>
        <v>0.93239542238596718</v>
      </c>
      <c r="AG44" s="7">
        <f t="shared" si="12"/>
        <v>2.2259740259740264</v>
      </c>
      <c r="AH44" s="7">
        <f t="shared" si="13"/>
        <v>0.23252032520325189</v>
      </c>
      <c r="AI44" s="7">
        <f t="shared" si="14"/>
        <v>0.6725245901639344</v>
      </c>
      <c r="AJ44" s="20">
        <f t="shared" si="15"/>
        <v>9.573244936881304</v>
      </c>
    </row>
    <row r="45" spans="2:36" x14ac:dyDescent="0.3">
      <c r="B45" s="6"/>
      <c r="C45" s="8"/>
      <c r="D45" s="6"/>
      <c r="E45" s="10"/>
      <c r="F45" s="6">
        <v>122</v>
      </c>
      <c r="G45" s="15">
        <f>20+9</f>
        <v>29</v>
      </c>
      <c r="H45" s="6">
        <f>27+66</f>
        <v>93</v>
      </c>
      <c r="I45" s="6" t="s">
        <v>283</v>
      </c>
      <c r="J45" s="6" t="s">
        <v>135</v>
      </c>
      <c r="K45" s="28">
        <v>11.27</v>
      </c>
      <c r="L45" s="11"/>
      <c r="M45" s="12"/>
      <c r="N45" s="12"/>
      <c r="O45" s="12"/>
      <c r="P45" s="7">
        <v>64.3</v>
      </c>
      <c r="Q45" s="7">
        <v>87.9</v>
      </c>
      <c r="R45" s="7"/>
      <c r="S45" s="7"/>
      <c r="T45" s="7">
        <v>5.31</v>
      </c>
      <c r="U45" s="7">
        <v>0.24</v>
      </c>
      <c r="V45" s="7"/>
      <c r="W45" s="7">
        <v>0.80830000000000002</v>
      </c>
      <c r="X45" s="7" t="s">
        <v>243</v>
      </c>
      <c r="Y45" s="17">
        <f t="shared" si="16"/>
        <v>18.646999999999998</v>
      </c>
      <c r="Z45" s="17">
        <f t="shared" si="17"/>
        <v>11.252999999999986</v>
      </c>
      <c r="AA45" s="17">
        <f t="shared" si="18"/>
        <v>10.353000000000002</v>
      </c>
      <c r="AB45" s="17">
        <f t="shared" si="19"/>
        <v>81.747000000000014</v>
      </c>
      <c r="AC45" s="7">
        <f t="shared" si="8"/>
        <v>0.6429999999999999</v>
      </c>
      <c r="AD45" s="7">
        <f t="shared" si="9"/>
        <v>0.87900000000000011</v>
      </c>
      <c r="AE45" s="7">
        <f t="shared" si="10"/>
        <v>0.62364548494983307</v>
      </c>
      <c r="AF45" s="7">
        <f t="shared" si="11"/>
        <v>0.88758957654723125</v>
      </c>
      <c r="AG45" s="7">
        <f t="shared" si="12"/>
        <v>5.3140495867768633</v>
      </c>
      <c r="AH45" s="7">
        <f t="shared" si="13"/>
        <v>0.40614334470989766</v>
      </c>
      <c r="AI45" s="7">
        <f t="shared" si="14"/>
        <v>0.8229016393442623</v>
      </c>
      <c r="AJ45" s="20">
        <f t="shared" si="15"/>
        <v>13.084172511980013</v>
      </c>
    </row>
    <row r="46" spans="2:36" x14ac:dyDescent="0.3">
      <c r="B46" s="6">
        <v>21</v>
      </c>
      <c r="C46" s="8" t="s">
        <v>52</v>
      </c>
      <c r="D46" s="6" t="s">
        <v>132</v>
      </c>
      <c r="E46" s="10" t="s">
        <v>125</v>
      </c>
      <c r="F46" s="6">
        <v>151</v>
      </c>
      <c r="G46" s="15">
        <f>42+15</f>
        <v>57</v>
      </c>
      <c r="H46" s="6">
        <f>8+86</f>
        <v>94</v>
      </c>
      <c r="I46" s="6" t="s">
        <v>365</v>
      </c>
      <c r="J46" s="6" t="s">
        <v>283</v>
      </c>
      <c r="K46" s="28">
        <v>0.7</v>
      </c>
      <c r="L46" s="11"/>
      <c r="M46" s="12"/>
      <c r="N46" s="12"/>
      <c r="O46" s="12"/>
      <c r="P46" s="7">
        <v>50.8</v>
      </c>
      <c r="Q46" s="7">
        <v>70.7</v>
      </c>
      <c r="R46" s="7">
        <v>61.8</v>
      </c>
      <c r="S46" s="7">
        <v>63.4</v>
      </c>
      <c r="T46" s="7"/>
      <c r="U46" s="7"/>
      <c r="V46" s="7">
        <v>60.8</v>
      </c>
      <c r="W46" s="7">
        <v>0.66400000000000003</v>
      </c>
      <c r="X46" s="7" t="s">
        <v>161</v>
      </c>
      <c r="Y46" s="17">
        <f t="shared" si="16"/>
        <v>28.956</v>
      </c>
      <c r="Z46" s="17">
        <f t="shared" si="17"/>
        <v>27.542000000000002</v>
      </c>
      <c r="AA46" s="17">
        <f t="shared" si="18"/>
        <v>28.044</v>
      </c>
      <c r="AB46" s="17">
        <f t="shared" si="19"/>
        <v>66.457999999999998</v>
      </c>
      <c r="AC46" s="7">
        <f t="shared" si="8"/>
        <v>0.50800000000000001</v>
      </c>
      <c r="AD46" s="7">
        <f t="shared" si="9"/>
        <v>0.70699999999999996</v>
      </c>
      <c r="AE46" s="7">
        <f t="shared" si="10"/>
        <v>0.51251371729972739</v>
      </c>
      <c r="AF46" s="7">
        <f t="shared" si="11"/>
        <v>0.70324437578040677</v>
      </c>
      <c r="AG46" s="7">
        <f t="shared" si="12"/>
        <v>1.7337883959044367</v>
      </c>
      <c r="AH46" s="7">
        <f t="shared" si="13"/>
        <v>0.69589816124469595</v>
      </c>
      <c r="AI46" s="7">
        <f t="shared" si="14"/>
        <v>0.63188079470198677</v>
      </c>
      <c r="AJ46" s="20">
        <f t="shared" si="15"/>
        <v>2.491439829074058</v>
      </c>
    </row>
    <row r="47" spans="2:36" x14ac:dyDescent="0.3">
      <c r="B47" s="6"/>
      <c r="C47" s="8"/>
      <c r="D47" s="6"/>
      <c r="E47" s="10"/>
      <c r="F47" s="6">
        <v>151</v>
      </c>
      <c r="G47" s="15">
        <f>42+15</f>
        <v>57</v>
      </c>
      <c r="H47" s="6">
        <f>8+86</f>
        <v>94</v>
      </c>
      <c r="I47" s="6" t="s">
        <v>283</v>
      </c>
      <c r="J47" s="6" t="s">
        <v>9</v>
      </c>
      <c r="K47" s="28" t="s">
        <v>394</v>
      </c>
      <c r="L47" s="11"/>
      <c r="M47" s="12"/>
      <c r="N47" s="12"/>
      <c r="O47" s="12"/>
      <c r="P47" s="7">
        <v>89.1</v>
      </c>
      <c r="Q47" s="7">
        <v>65.2</v>
      </c>
      <c r="R47" s="7">
        <v>71.900000000000006</v>
      </c>
      <c r="S47" s="7">
        <v>85.6</v>
      </c>
      <c r="T47" s="7"/>
      <c r="U47" s="7"/>
      <c r="V47" s="7">
        <v>77.099999999999994</v>
      </c>
      <c r="W47" s="7">
        <v>0.80500000000000005</v>
      </c>
      <c r="X47" s="7" t="s">
        <v>244</v>
      </c>
      <c r="Y47" s="17">
        <f t="shared" si="16"/>
        <v>50.786999999999999</v>
      </c>
      <c r="Z47" s="17">
        <f t="shared" si="17"/>
        <v>32.711999999999996</v>
      </c>
      <c r="AA47" s="17">
        <f t="shared" si="18"/>
        <v>6.213000000000001</v>
      </c>
      <c r="AB47" s="17">
        <f t="shared" si="19"/>
        <v>61.288000000000004</v>
      </c>
      <c r="AC47" s="7">
        <f t="shared" si="8"/>
        <v>0.89100000000000001</v>
      </c>
      <c r="AD47" s="7">
        <f t="shared" si="9"/>
        <v>0.65200000000000002</v>
      </c>
      <c r="AE47" s="7">
        <f t="shared" si="10"/>
        <v>0.60823482915963067</v>
      </c>
      <c r="AF47" s="7">
        <f t="shared" si="11"/>
        <v>0.90795691915675325</v>
      </c>
      <c r="AG47" s="7">
        <f t="shared" si="12"/>
        <v>2.5603448275862073</v>
      </c>
      <c r="AH47" s="7">
        <f t="shared" si="13"/>
        <v>0.16717791411042943</v>
      </c>
      <c r="AI47" s="7">
        <f t="shared" si="14"/>
        <v>0.74221854304635759</v>
      </c>
      <c r="AJ47" s="20">
        <f t="shared" si="15"/>
        <v>15.315090161341347</v>
      </c>
    </row>
    <row r="48" spans="2:36" x14ac:dyDescent="0.3">
      <c r="B48" s="6"/>
      <c r="C48" s="8"/>
      <c r="D48" s="6"/>
      <c r="E48" s="10"/>
      <c r="F48" s="6">
        <v>151</v>
      </c>
      <c r="G48" s="15">
        <f>42+15</f>
        <v>57</v>
      </c>
      <c r="H48" s="6">
        <f>8+86</f>
        <v>94</v>
      </c>
      <c r="I48" s="6" t="s">
        <v>283</v>
      </c>
      <c r="J48" s="6" t="s">
        <v>135</v>
      </c>
      <c r="K48" s="28">
        <v>9.5</v>
      </c>
      <c r="L48" s="11"/>
      <c r="M48" s="12"/>
      <c r="N48" s="12"/>
      <c r="O48" s="12"/>
      <c r="P48" s="7">
        <v>81.099999999999994</v>
      </c>
      <c r="Q48" s="7">
        <v>54.4</v>
      </c>
      <c r="R48" s="7">
        <v>64.099999999999994</v>
      </c>
      <c r="S48" s="7">
        <v>74.2</v>
      </c>
      <c r="T48" s="7"/>
      <c r="U48" s="7"/>
      <c r="V48" s="7">
        <v>67.7</v>
      </c>
      <c r="W48" s="7">
        <v>0.76200000000000001</v>
      </c>
      <c r="X48" s="7" t="s">
        <v>245</v>
      </c>
      <c r="Y48" s="17">
        <f t="shared" si="16"/>
        <v>46.226999999999997</v>
      </c>
      <c r="Z48" s="17">
        <f t="shared" si="17"/>
        <v>42.864000000000004</v>
      </c>
      <c r="AA48" s="17">
        <f t="shared" si="18"/>
        <v>10.773000000000003</v>
      </c>
      <c r="AB48" s="17">
        <f t="shared" si="19"/>
        <v>51.135999999999996</v>
      </c>
      <c r="AC48" s="7">
        <f t="shared" si="8"/>
        <v>0.81099999999999994</v>
      </c>
      <c r="AD48" s="7">
        <f t="shared" si="9"/>
        <v>0.54399999999999993</v>
      </c>
      <c r="AE48" s="7">
        <f t="shared" si="10"/>
        <v>0.51887396033269351</v>
      </c>
      <c r="AF48" s="7">
        <f t="shared" si="11"/>
        <v>0.82598652861457944</v>
      </c>
      <c r="AG48" s="7">
        <f t="shared" si="12"/>
        <v>1.7785087719298243</v>
      </c>
      <c r="AH48" s="7">
        <f t="shared" si="13"/>
        <v>0.34742647058823545</v>
      </c>
      <c r="AI48" s="7">
        <f t="shared" si="14"/>
        <v>0.64478807947019867</v>
      </c>
      <c r="AJ48" s="20">
        <f t="shared" si="15"/>
        <v>5.11909403137473</v>
      </c>
    </row>
    <row r="49" spans="2:36" x14ac:dyDescent="0.3">
      <c r="B49" s="6">
        <v>22</v>
      </c>
      <c r="C49" s="8" t="s">
        <v>55</v>
      </c>
      <c r="D49" s="6" t="s">
        <v>132</v>
      </c>
      <c r="E49" s="10" t="s">
        <v>125</v>
      </c>
      <c r="F49" s="6">
        <v>554</v>
      </c>
      <c r="G49" s="15">
        <f>50+6</f>
        <v>56</v>
      </c>
      <c r="H49" s="6">
        <f>292+206</f>
        <v>498</v>
      </c>
      <c r="I49" s="6" t="s">
        <v>365</v>
      </c>
      <c r="J49" s="6" t="s">
        <v>283</v>
      </c>
      <c r="K49" s="28">
        <v>0.45</v>
      </c>
      <c r="L49" s="11"/>
      <c r="M49" s="12"/>
      <c r="N49" s="12"/>
      <c r="O49" s="12"/>
      <c r="P49" s="7">
        <v>69.599999999999994</v>
      </c>
      <c r="Q49" s="7">
        <v>74.099999999999994</v>
      </c>
      <c r="R49" s="7"/>
      <c r="S49" s="7"/>
      <c r="T49" s="7"/>
      <c r="U49" s="7"/>
      <c r="V49" s="7"/>
      <c r="W49" s="7">
        <v>0.79500000000000004</v>
      </c>
      <c r="X49" s="7" t="s">
        <v>164</v>
      </c>
      <c r="Y49" s="17">
        <f t="shared" si="16"/>
        <v>38.975999999999992</v>
      </c>
      <c r="Z49" s="17">
        <f t="shared" si="17"/>
        <v>128.98200000000003</v>
      </c>
      <c r="AA49" s="17">
        <f t="shared" si="18"/>
        <v>17.024000000000008</v>
      </c>
      <c r="AB49" s="17">
        <f t="shared" si="19"/>
        <v>369.01799999999997</v>
      </c>
      <c r="AC49" s="7">
        <f t="shared" si="8"/>
        <v>0.69599999999999984</v>
      </c>
      <c r="AD49" s="7">
        <f t="shared" si="9"/>
        <v>0.74099999999999999</v>
      </c>
      <c r="AE49" s="7">
        <f t="shared" si="10"/>
        <v>0.23205801450362581</v>
      </c>
      <c r="AF49" s="7">
        <f t="shared" si="11"/>
        <v>0.95590117137513531</v>
      </c>
      <c r="AG49" s="7">
        <f t="shared" si="12"/>
        <v>2.6872586872586868</v>
      </c>
      <c r="AH49" s="7">
        <f t="shared" si="13"/>
        <v>0.41025641025641046</v>
      </c>
      <c r="AI49" s="7">
        <f t="shared" si="14"/>
        <v>0.73645126353790613</v>
      </c>
      <c r="AJ49" s="20">
        <f t="shared" si="15"/>
        <v>6.5501930501930437</v>
      </c>
    </row>
    <row r="50" spans="2:36" x14ac:dyDescent="0.3">
      <c r="B50" s="6">
        <v>23</v>
      </c>
      <c r="C50" s="8" t="s">
        <v>57</v>
      </c>
      <c r="D50" s="6" t="s">
        <v>18</v>
      </c>
      <c r="E50" s="10" t="s">
        <v>123</v>
      </c>
      <c r="F50" s="6">
        <v>165</v>
      </c>
      <c r="G50" s="15">
        <f>47+11</f>
        <v>58</v>
      </c>
      <c r="H50" s="6">
        <f>12+71+24</f>
        <v>107</v>
      </c>
      <c r="I50" s="6" t="s">
        <v>365</v>
      </c>
      <c r="J50" s="6" t="s">
        <v>283</v>
      </c>
      <c r="K50" s="28">
        <v>0.83</v>
      </c>
      <c r="L50" s="11"/>
      <c r="M50" s="12"/>
      <c r="N50" s="12"/>
      <c r="O50" s="12"/>
      <c r="P50" s="7">
        <v>79.3</v>
      </c>
      <c r="Q50" s="7">
        <v>72.8</v>
      </c>
      <c r="R50" s="7">
        <v>61.3</v>
      </c>
      <c r="S50" s="7">
        <v>86.6</v>
      </c>
      <c r="T50" s="7"/>
      <c r="U50" s="7"/>
      <c r="V50" s="7"/>
      <c r="W50" s="7">
        <v>0.82</v>
      </c>
      <c r="X50" s="7" t="s">
        <v>167</v>
      </c>
      <c r="Y50" s="17">
        <f t="shared" si="16"/>
        <v>45.994</v>
      </c>
      <c r="Z50" s="17">
        <f t="shared" si="17"/>
        <v>29.103999999999999</v>
      </c>
      <c r="AA50" s="17">
        <f t="shared" si="18"/>
        <v>12.006</v>
      </c>
      <c r="AB50" s="17">
        <f t="shared" si="19"/>
        <v>77.896000000000001</v>
      </c>
      <c r="AC50" s="7">
        <f t="shared" si="8"/>
        <v>0.79300000000000004</v>
      </c>
      <c r="AD50" s="7">
        <f t="shared" si="9"/>
        <v>0.72799999999999998</v>
      </c>
      <c r="AE50" s="7">
        <f t="shared" si="10"/>
        <v>0.61245306133319133</v>
      </c>
      <c r="AF50" s="7">
        <f t="shared" si="11"/>
        <v>0.86645458388022512</v>
      </c>
      <c r="AG50" s="7">
        <f t="shared" si="12"/>
        <v>2.9154411764705883</v>
      </c>
      <c r="AH50" s="7">
        <f t="shared" si="13"/>
        <v>0.28434065934065927</v>
      </c>
      <c r="AI50" s="7">
        <f t="shared" si="14"/>
        <v>0.75084848484848488</v>
      </c>
      <c r="AJ50" s="20">
        <f t="shared" si="15"/>
        <v>10.253339016766127</v>
      </c>
    </row>
    <row r="51" spans="2:36" x14ac:dyDescent="0.3">
      <c r="B51" s="6"/>
      <c r="C51" s="8"/>
      <c r="D51" s="6"/>
      <c r="E51" s="10"/>
      <c r="F51" s="6">
        <v>165</v>
      </c>
      <c r="G51" s="15">
        <f>47+11</f>
        <v>58</v>
      </c>
      <c r="H51" s="6">
        <f>12+71+24</f>
        <v>107</v>
      </c>
      <c r="I51" s="6" t="s">
        <v>283</v>
      </c>
      <c r="J51" s="6" t="s">
        <v>248</v>
      </c>
      <c r="K51" s="28" t="s">
        <v>395</v>
      </c>
      <c r="L51" s="11"/>
      <c r="M51" s="12"/>
      <c r="N51" s="12"/>
      <c r="O51" s="12"/>
      <c r="P51" s="7">
        <v>88</v>
      </c>
      <c r="Q51" s="7">
        <v>78.8</v>
      </c>
      <c r="R51" s="7">
        <v>71.099999999999994</v>
      </c>
      <c r="S51" s="7">
        <v>91.8</v>
      </c>
      <c r="T51" s="7"/>
      <c r="U51" s="7"/>
      <c r="V51" s="7"/>
      <c r="W51" s="7">
        <v>0.90300000000000002</v>
      </c>
      <c r="X51" s="7" t="s">
        <v>251</v>
      </c>
      <c r="Y51" s="17">
        <f t="shared" si="16"/>
        <v>51.04</v>
      </c>
      <c r="Z51" s="17">
        <f t="shared" si="17"/>
        <v>22.683999999999997</v>
      </c>
      <c r="AA51" s="17">
        <f t="shared" si="18"/>
        <v>6.9600000000000009</v>
      </c>
      <c r="AB51" s="17">
        <f t="shared" si="19"/>
        <v>84.316000000000003</v>
      </c>
      <c r="AC51" s="7">
        <f t="shared" si="8"/>
        <v>0.88</v>
      </c>
      <c r="AD51" s="7">
        <f t="shared" si="9"/>
        <v>0.78800000000000003</v>
      </c>
      <c r="AE51" s="7">
        <f t="shared" si="10"/>
        <v>0.6923118658781402</v>
      </c>
      <c r="AF51" s="7">
        <f t="shared" si="11"/>
        <v>0.92374775406459519</v>
      </c>
      <c r="AG51" s="7">
        <f t="shared" si="12"/>
        <v>4.1509433962264159</v>
      </c>
      <c r="AH51" s="7">
        <f t="shared" si="13"/>
        <v>0.15228426395939085</v>
      </c>
      <c r="AI51" s="7">
        <f t="shared" si="14"/>
        <v>0.82033939393939392</v>
      </c>
      <c r="AJ51" s="20">
        <f t="shared" si="15"/>
        <v>27.257861635220127</v>
      </c>
    </row>
    <row r="52" spans="2:36" x14ac:dyDescent="0.3">
      <c r="B52" s="6"/>
      <c r="C52" s="8"/>
      <c r="D52" s="6"/>
      <c r="E52" s="10"/>
      <c r="F52" s="6">
        <v>165</v>
      </c>
      <c r="G52" s="15">
        <f>47+11</f>
        <v>58</v>
      </c>
      <c r="H52" s="6">
        <f>12+71+24</f>
        <v>107</v>
      </c>
      <c r="I52" s="6" t="s">
        <v>283</v>
      </c>
      <c r="J52" s="6" t="s">
        <v>29</v>
      </c>
      <c r="K52" s="28" t="s">
        <v>387</v>
      </c>
      <c r="L52" s="11"/>
      <c r="M52" s="12"/>
      <c r="N52" s="12"/>
      <c r="O52" s="12"/>
      <c r="P52" s="7">
        <v>95.2</v>
      </c>
      <c r="Q52" s="7">
        <v>75.3</v>
      </c>
      <c r="R52" s="7">
        <v>70.099999999999994</v>
      </c>
      <c r="S52" s="7">
        <v>96.2</v>
      </c>
      <c r="T52" s="7"/>
      <c r="U52" s="7"/>
      <c r="V52" s="7"/>
      <c r="W52" s="7">
        <v>0.91300000000000003</v>
      </c>
      <c r="X52" s="7" t="s">
        <v>252</v>
      </c>
      <c r="Y52" s="17">
        <f t="shared" si="16"/>
        <v>55.216000000000001</v>
      </c>
      <c r="Z52" s="17">
        <f t="shared" si="17"/>
        <v>26.429000000000002</v>
      </c>
      <c r="AA52" s="17">
        <f t="shared" si="18"/>
        <v>2.7839999999999989</v>
      </c>
      <c r="AB52" s="17">
        <f t="shared" si="19"/>
        <v>80.570999999999998</v>
      </c>
      <c r="AC52" s="7">
        <f t="shared" si="8"/>
        <v>0.95200000000000007</v>
      </c>
      <c r="AD52" s="7">
        <f t="shared" si="9"/>
        <v>0.753</v>
      </c>
      <c r="AE52" s="7">
        <f t="shared" si="10"/>
        <v>0.6762937105762753</v>
      </c>
      <c r="AF52" s="7">
        <f t="shared" si="11"/>
        <v>0.96660068382220632</v>
      </c>
      <c r="AG52" s="7">
        <f t="shared" si="12"/>
        <v>3.8542510121457494</v>
      </c>
      <c r="AH52" s="7">
        <f t="shared" si="13"/>
        <v>6.3745019920318641E-2</v>
      </c>
      <c r="AI52" s="7">
        <f t="shared" si="14"/>
        <v>0.82295151515151521</v>
      </c>
      <c r="AJ52" s="20">
        <f t="shared" si="15"/>
        <v>60.463562753036456</v>
      </c>
    </row>
    <row r="53" spans="2:36" x14ac:dyDescent="0.3">
      <c r="B53" s="6">
        <v>24</v>
      </c>
      <c r="C53" s="8" t="s">
        <v>60</v>
      </c>
      <c r="D53" s="6" t="s">
        <v>131</v>
      </c>
      <c r="E53" s="10" t="s">
        <v>127</v>
      </c>
      <c r="F53" s="6">
        <v>37</v>
      </c>
      <c r="G53" s="15">
        <f>4+11</f>
        <v>15</v>
      </c>
      <c r="H53" s="6">
        <f>6+10+6</f>
        <v>22</v>
      </c>
      <c r="I53" s="6" t="s">
        <v>217</v>
      </c>
      <c r="J53" s="6" t="s">
        <v>283</v>
      </c>
      <c r="K53" s="28">
        <v>1.67</v>
      </c>
      <c r="L53" s="11"/>
      <c r="M53" s="12"/>
      <c r="N53" s="12"/>
      <c r="O53" s="12"/>
      <c r="P53" s="7">
        <v>80</v>
      </c>
      <c r="Q53" s="7">
        <v>100</v>
      </c>
      <c r="R53" s="7"/>
      <c r="S53" s="7"/>
      <c r="T53" s="7"/>
      <c r="U53" s="7"/>
      <c r="V53" s="7"/>
      <c r="W53" s="7">
        <v>0.93</v>
      </c>
      <c r="X53" s="7"/>
      <c r="Y53" s="17">
        <f t="shared" si="16"/>
        <v>12</v>
      </c>
      <c r="Z53" s="17">
        <f t="shared" si="17"/>
        <v>0</v>
      </c>
      <c r="AA53" s="17">
        <f t="shared" si="18"/>
        <v>3</v>
      </c>
      <c r="AB53" s="17">
        <f t="shared" si="19"/>
        <v>22</v>
      </c>
      <c r="AC53" s="7">
        <f t="shared" si="8"/>
        <v>0.8</v>
      </c>
      <c r="AD53" s="7">
        <f t="shared" si="9"/>
        <v>1</v>
      </c>
      <c r="AE53" s="7">
        <f t="shared" si="10"/>
        <v>1</v>
      </c>
      <c r="AF53" s="7">
        <f t="shared" si="11"/>
        <v>0.88</v>
      </c>
      <c r="AG53" s="6" t="s">
        <v>134</v>
      </c>
      <c r="AH53" s="7">
        <f t="shared" si="13"/>
        <v>0.19999999999999996</v>
      </c>
      <c r="AI53" s="7">
        <f t="shared" si="14"/>
        <v>0.91891891891891897</v>
      </c>
      <c r="AJ53" s="21" t="s">
        <v>134</v>
      </c>
    </row>
    <row r="54" spans="2:36" x14ac:dyDescent="0.3">
      <c r="B54" s="6">
        <v>25</v>
      </c>
      <c r="C54" s="8" t="s">
        <v>61</v>
      </c>
      <c r="D54" s="6" t="s">
        <v>130</v>
      </c>
      <c r="E54" s="10" t="s">
        <v>120</v>
      </c>
      <c r="F54" s="6">
        <v>229</v>
      </c>
      <c r="G54" s="15">
        <f>38+50</f>
        <v>88</v>
      </c>
      <c r="H54" s="6">
        <f>23+62+56</f>
        <v>141</v>
      </c>
      <c r="I54" s="6" t="s">
        <v>365</v>
      </c>
      <c r="J54" s="6" t="s">
        <v>283</v>
      </c>
      <c r="K54" s="28">
        <v>1.42</v>
      </c>
      <c r="L54" s="11"/>
      <c r="M54" s="12"/>
      <c r="N54" s="12"/>
      <c r="O54" s="12"/>
      <c r="P54" s="7">
        <v>71.599999999999994</v>
      </c>
      <c r="Q54" s="7">
        <v>41.8</v>
      </c>
      <c r="R54" s="7">
        <v>43.4</v>
      </c>
      <c r="S54" s="7">
        <v>70.2</v>
      </c>
      <c r="T54" s="7"/>
      <c r="U54" s="7"/>
      <c r="V54" s="7">
        <v>53.3</v>
      </c>
      <c r="W54" s="7">
        <v>0.58399999999999996</v>
      </c>
      <c r="X54" s="7"/>
      <c r="Y54" s="17">
        <f t="shared" si="16"/>
        <v>63.007999999999996</v>
      </c>
      <c r="Z54" s="17">
        <f t="shared" si="17"/>
        <v>82.062000000000012</v>
      </c>
      <c r="AA54" s="17">
        <f t="shared" si="18"/>
        <v>24.992000000000004</v>
      </c>
      <c r="AB54" s="17">
        <f t="shared" si="19"/>
        <v>58.937999999999995</v>
      </c>
      <c r="AC54" s="7">
        <f t="shared" si="8"/>
        <v>0.71599999999999997</v>
      </c>
      <c r="AD54" s="7">
        <f t="shared" si="9"/>
        <v>0.41799999999999998</v>
      </c>
      <c r="AE54" s="7">
        <f t="shared" si="10"/>
        <v>0.43432825532501551</v>
      </c>
      <c r="AF54" s="7">
        <f t="shared" si="11"/>
        <v>0.70222804718217546</v>
      </c>
      <c r="AG54" s="7">
        <f t="shared" si="12"/>
        <v>1.2302405498281785</v>
      </c>
      <c r="AH54" s="7">
        <f t="shared" si="13"/>
        <v>0.67942583732057427</v>
      </c>
      <c r="AI54" s="7">
        <f t="shared" si="14"/>
        <v>0.53251528384279478</v>
      </c>
      <c r="AJ54" s="20">
        <f t="shared" si="15"/>
        <v>1.8107061613668256</v>
      </c>
    </row>
    <row r="55" spans="2:36" x14ac:dyDescent="0.3">
      <c r="B55" s="6">
        <v>26</v>
      </c>
      <c r="C55" s="8" t="s">
        <v>64</v>
      </c>
      <c r="D55" s="6" t="s">
        <v>132</v>
      </c>
      <c r="E55" s="10" t="s">
        <v>125</v>
      </c>
      <c r="F55" s="6">
        <v>112</v>
      </c>
      <c r="G55" s="15">
        <f>24+22</f>
        <v>46</v>
      </c>
      <c r="H55" s="3">
        <f>4+36+26</f>
        <v>66</v>
      </c>
      <c r="I55" s="6" t="s">
        <v>365</v>
      </c>
      <c r="J55" s="6" t="s">
        <v>283</v>
      </c>
      <c r="K55" s="28">
        <v>1.26</v>
      </c>
      <c r="L55" s="11"/>
      <c r="M55" s="12"/>
      <c r="N55" s="12"/>
      <c r="O55" s="12"/>
      <c r="P55" s="7">
        <v>54</v>
      </c>
      <c r="Q55" s="7">
        <v>73</v>
      </c>
      <c r="R55" s="7"/>
      <c r="S55" s="7"/>
      <c r="T55" s="7"/>
      <c r="U55" s="7"/>
      <c r="V55" s="7"/>
      <c r="W55" s="7">
        <v>0.65800000000000003</v>
      </c>
      <c r="X55" s="7"/>
      <c r="Y55" s="17">
        <f t="shared" si="16"/>
        <v>24.84</v>
      </c>
      <c r="Z55" s="17">
        <f t="shared" si="17"/>
        <v>17.82</v>
      </c>
      <c r="AA55" s="17">
        <f t="shared" si="18"/>
        <v>21.16</v>
      </c>
      <c r="AB55" s="17">
        <f t="shared" si="19"/>
        <v>48.18</v>
      </c>
      <c r="AC55" s="7">
        <f t="shared" si="8"/>
        <v>0.54</v>
      </c>
      <c r="AD55" s="7">
        <f t="shared" si="9"/>
        <v>0.73</v>
      </c>
      <c r="AE55" s="7">
        <f t="shared" si="10"/>
        <v>0.58227848101265822</v>
      </c>
      <c r="AF55" s="7">
        <f t="shared" si="11"/>
        <v>0.69483703490049031</v>
      </c>
      <c r="AG55" s="7">
        <f t="shared" si="12"/>
        <v>2</v>
      </c>
      <c r="AH55" s="7">
        <f t="shared" si="13"/>
        <v>0.63013698630136983</v>
      </c>
      <c r="AI55" s="7">
        <f t="shared" si="14"/>
        <v>0.65196428571428566</v>
      </c>
      <c r="AJ55" s="20">
        <f t="shared" si="15"/>
        <v>3.1739130434782603</v>
      </c>
    </row>
    <row r="56" spans="2:36" x14ac:dyDescent="0.3">
      <c r="B56" s="6">
        <v>27</v>
      </c>
      <c r="C56" s="8" t="s">
        <v>66</v>
      </c>
      <c r="D56" s="6" t="s">
        <v>132</v>
      </c>
      <c r="E56" s="10" t="s">
        <v>125</v>
      </c>
      <c r="F56" s="6">
        <v>189</v>
      </c>
      <c r="G56" s="15">
        <f>16+28</f>
        <v>44</v>
      </c>
      <c r="H56" s="6">
        <f>37+97+11</f>
        <v>145</v>
      </c>
      <c r="I56" s="6" t="s">
        <v>365</v>
      </c>
      <c r="J56" s="6" t="s">
        <v>283</v>
      </c>
      <c r="K56" s="28">
        <v>1.4</v>
      </c>
      <c r="L56" s="11"/>
      <c r="M56" s="12"/>
      <c r="N56" s="12"/>
      <c r="O56" s="12"/>
      <c r="P56" s="7">
        <v>77.3</v>
      </c>
      <c r="Q56" s="7">
        <v>68.3</v>
      </c>
      <c r="R56" s="7"/>
      <c r="S56" s="7"/>
      <c r="T56" s="7"/>
      <c r="U56" s="7"/>
      <c r="V56" s="7"/>
      <c r="W56" s="7">
        <v>0.77</v>
      </c>
      <c r="X56" s="7"/>
      <c r="Y56" s="17">
        <f t="shared" si="16"/>
        <v>34.012</v>
      </c>
      <c r="Z56" s="17">
        <f t="shared" si="17"/>
        <v>45.965000000000003</v>
      </c>
      <c r="AA56" s="17">
        <f t="shared" si="18"/>
        <v>9.9879999999999995</v>
      </c>
      <c r="AB56" s="17">
        <f t="shared" si="19"/>
        <v>99.034999999999997</v>
      </c>
      <c r="AC56" s="7">
        <f t="shared" si="8"/>
        <v>0.77300000000000002</v>
      </c>
      <c r="AD56" s="7">
        <f t="shared" si="9"/>
        <v>0.68299999999999994</v>
      </c>
      <c r="AE56" s="7">
        <f t="shared" si="10"/>
        <v>0.4252722657764107</v>
      </c>
      <c r="AF56" s="7">
        <f t="shared" si="11"/>
        <v>0.90838630380745344</v>
      </c>
      <c r="AG56" s="7">
        <f t="shared" si="12"/>
        <v>2.4384858044164033</v>
      </c>
      <c r="AH56" s="7">
        <f t="shared" si="13"/>
        <v>0.33235724743777451</v>
      </c>
      <c r="AI56" s="7">
        <f t="shared" si="14"/>
        <v>0.70395238095238089</v>
      </c>
      <c r="AJ56" s="20">
        <f t="shared" si="15"/>
        <v>7.3369418696757869</v>
      </c>
    </row>
    <row r="57" spans="2:36" x14ac:dyDescent="0.3">
      <c r="B57" s="6">
        <v>28</v>
      </c>
      <c r="C57" s="8" t="s">
        <v>67</v>
      </c>
      <c r="D57" s="6" t="s">
        <v>18</v>
      </c>
      <c r="E57" s="10" t="s">
        <v>123</v>
      </c>
      <c r="F57" s="6">
        <v>116</v>
      </c>
      <c r="G57" s="6" t="s">
        <v>134</v>
      </c>
      <c r="H57" s="6" t="s">
        <v>134</v>
      </c>
      <c r="I57" s="6" t="s">
        <v>365</v>
      </c>
      <c r="J57" s="6" t="s">
        <v>283</v>
      </c>
      <c r="K57" s="28" t="s">
        <v>283</v>
      </c>
      <c r="L57" s="31" t="s">
        <v>283</v>
      </c>
      <c r="M57" s="16" t="s">
        <v>283</v>
      </c>
      <c r="N57" s="16" t="s">
        <v>283</v>
      </c>
      <c r="O57" s="16" t="s">
        <v>283</v>
      </c>
      <c r="P57" s="6" t="s">
        <v>283</v>
      </c>
      <c r="Q57" s="6" t="s">
        <v>283</v>
      </c>
      <c r="R57" s="6" t="s">
        <v>283</v>
      </c>
      <c r="S57" s="6" t="s">
        <v>283</v>
      </c>
      <c r="T57" s="6" t="s">
        <v>283</v>
      </c>
      <c r="U57" s="6" t="s">
        <v>283</v>
      </c>
      <c r="V57" s="6" t="s">
        <v>283</v>
      </c>
      <c r="W57" s="6" t="s">
        <v>283</v>
      </c>
      <c r="X57" s="6" t="s">
        <v>283</v>
      </c>
      <c r="Y57" s="16" t="s">
        <v>283</v>
      </c>
      <c r="Z57" s="16" t="s">
        <v>283</v>
      </c>
      <c r="AA57" s="16" t="s">
        <v>283</v>
      </c>
      <c r="AB57" s="16" t="s">
        <v>283</v>
      </c>
      <c r="AC57" s="6" t="s">
        <v>283</v>
      </c>
      <c r="AD57" s="6" t="s">
        <v>283</v>
      </c>
      <c r="AE57" s="6" t="s">
        <v>283</v>
      </c>
      <c r="AF57" s="6" t="s">
        <v>283</v>
      </c>
      <c r="AG57" s="6" t="s">
        <v>283</v>
      </c>
      <c r="AH57" s="6" t="s">
        <v>283</v>
      </c>
      <c r="AI57" s="6" t="s">
        <v>283</v>
      </c>
      <c r="AJ57" s="21" t="s">
        <v>283</v>
      </c>
    </row>
    <row r="58" spans="2:36" x14ac:dyDescent="0.3">
      <c r="B58" s="6">
        <v>29</v>
      </c>
      <c r="C58" s="8" t="s">
        <v>69</v>
      </c>
      <c r="D58" s="6" t="s">
        <v>18</v>
      </c>
      <c r="E58" s="10" t="s">
        <v>123</v>
      </c>
      <c r="F58" s="6">
        <v>220</v>
      </c>
      <c r="G58" s="15">
        <f>36+7</f>
        <v>43</v>
      </c>
      <c r="H58" s="6">
        <f>71+90+16</f>
        <v>177</v>
      </c>
      <c r="I58" s="6" t="s">
        <v>365</v>
      </c>
      <c r="J58" s="6" t="s">
        <v>283</v>
      </c>
      <c r="K58" s="28">
        <v>0.69</v>
      </c>
      <c r="L58" s="11"/>
      <c r="M58" s="12"/>
      <c r="N58" s="12"/>
      <c r="O58" s="12"/>
      <c r="P58" s="7">
        <v>62.8</v>
      </c>
      <c r="Q58" s="7">
        <v>75.7</v>
      </c>
      <c r="R58" s="7">
        <v>38.6</v>
      </c>
      <c r="S58" s="7">
        <v>89.3</v>
      </c>
      <c r="T58" s="7"/>
      <c r="U58" s="7"/>
      <c r="V58" s="7"/>
      <c r="W58" s="7">
        <v>0.74</v>
      </c>
      <c r="X58" s="7" t="s">
        <v>170</v>
      </c>
      <c r="Y58" s="17">
        <f>$G58*$P58/100</f>
        <v>27.004000000000001</v>
      </c>
      <c r="Z58" s="17">
        <f>$H58-$AB58</f>
        <v>43.010999999999996</v>
      </c>
      <c r="AA58" s="17">
        <f>$G58-$Y58</f>
        <v>15.995999999999999</v>
      </c>
      <c r="AB58" s="17">
        <f>$H58*$Q58/100</f>
        <v>133.989</v>
      </c>
      <c r="AC58" s="7">
        <f t="shared" si="8"/>
        <v>0.628</v>
      </c>
      <c r="AD58" s="7">
        <f t="shared" si="9"/>
        <v>0.75700000000000001</v>
      </c>
      <c r="AE58" s="7">
        <f t="shared" si="10"/>
        <v>0.38568878097550524</v>
      </c>
      <c r="AF58" s="7">
        <f t="shared" si="11"/>
        <v>0.89334933493349333</v>
      </c>
      <c r="AG58" s="7">
        <f t="shared" si="12"/>
        <v>2.5843621399176957</v>
      </c>
      <c r="AH58" s="7">
        <f t="shared" si="13"/>
        <v>0.4914134742404227</v>
      </c>
      <c r="AI58" s="7">
        <f t="shared" si="14"/>
        <v>0.73178636363636362</v>
      </c>
      <c r="AJ58" s="20">
        <f t="shared" si="15"/>
        <v>5.25903801053144</v>
      </c>
    </row>
    <row r="59" spans="2:36" x14ac:dyDescent="0.3">
      <c r="B59" s="6">
        <v>30</v>
      </c>
      <c r="C59" s="8" t="s">
        <v>72</v>
      </c>
      <c r="D59" s="6" t="s">
        <v>131</v>
      </c>
      <c r="E59" s="10"/>
      <c r="F59" s="6" t="s">
        <v>283</v>
      </c>
      <c r="G59" s="15" t="s">
        <v>283</v>
      </c>
      <c r="H59" s="6" t="s">
        <v>283</v>
      </c>
      <c r="I59" s="6" t="s">
        <v>283</v>
      </c>
      <c r="J59" s="6" t="s">
        <v>283</v>
      </c>
      <c r="K59" s="28" t="s">
        <v>283</v>
      </c>
      <c r="L59" s="31" t="s">
        <v>283</v>
      </c>
      <c r="M59" s="16" t="s">
        <v>283</v>
      </c>
      <c r="N59" s="16" t="s">
        <v>283</v>
      </c>
      <c r="O59" s="16" t="s">
        <v>283</v>
      </c>
      <c r="P59" s="6" t="s">
        <v>283</v>
      </c>
      <c r="Q59" s="6" t="s">
        <v>283</v>
      </c>
      <c r="R59" s="6" t="s">
        <v>283</v>
      </c>
      <c r="S59" s="6" t="s">
        <v>283</v>
      </c>
      <c r="T59" s="6" t="s">
        <v>283</v>
      </c>
      <c r="U59" s="6" t="s">
        <v>283</v>
      </c>
      <c r="V59" s="6" t="s">
        <v>283</v>
      </c>
      <c r="W59" s="6" t="s">
        <v>283</v>
      </c>
      <c r="X59" s="6" t="s">
        <v>283</v>
      </c>
      <c r="Y59" s="36" t="s">
        <v>283</v>
      </c>
      <c r="Z59" s="36" t="s">
        <v>283</v>
      </c>
      <c r="AA59" s="36" t="s">
        <v>283</v>
      </c>
      <c r="AB59" s="36" t="s">
        <v>283</v>
      </c>
      <c r="AC59" s="6" t="s">
        <v>283</v>
      </c>
      <c r="AD59" s="6" t="s">
        <v>283</v>
      </c>
      <c r="AE59" s="6" t="s">
        <v>283</v>
      </c>
      <c r="AF59" s="6" t="s">
        <v>283</v>
      </c>
      <c r="AG59" s="6" t="s">
        <v>283</v>
      </c>
      <c r="AH59" s="6" t="s">
        <v>283</v>
      </c>
      <c r="AI59" s="6" t="s">
        <v>283</v>
      </c>
      <c r="AJ59" s="21" t="s">
        <v>283</v>
      </c>
    </row>
    <row r="60" spans="2:36" x14ac:dyDescent="0.3">
      <c r="B60" s="6"/>
      <c r="C60" s="8"/>
      <c r="D60" s="6" t="s">
        <v>132</v>
      </c>
      <c r="E60" s="10" t="s">
        <v>33</v>
      </c>
      <c r="F60" s="6">
        <v>90</v>
      </c>
      <c r="G60" s="15">
        <f>20+10</f>
        <v>30</v>
      </c>
      <c r="H60" s="6">
        <v>60</v>
      </c>
      <c r="I60" s="6" t="s">
        <v>365</v>
      </c>
      <c r="J60" s="6" t="s">
        <v>283</v>
      </c>
      <c r="K60" s="28">
        <v>1</v>
      </c>
      <c r="L60" s="11"/>
      <c r="M60" s="12"/>
      <c r="N60" s="12"/>
      <c r="O60" s="12"/>
      <c r="P60" s="7">
        <v>67</v>
      </c>
      <c r="Q60" s="7">
        <v>70</v>
      </c>
      <c r="R60" s="7">
        <v>53</v>
      </c>
      <c r="S60" s="7">
        <v>81</v>
      </c>
      <c r="T60" s="7"/>
      <c r="U60" s="7"/>
      <c r="V60" s="7">
        <v>69</v>
      </c>
      <c r="W60" s="7">
        <v>0.68</v>
      </c>
      <c r="X60" s="7"/>
      <c r="Y60" s="17">
        <f>$G60*$P60/100</f>
        <v>20.100000000000001</v>
      </c>
      <c r="Z60" s="17">
        <f>$H60-$AB60</f>
        <v>18</v>
      </c>
      <c r="AA60" s="17">
        <f>$G60-$Y60</f>
        <v>9.8999999999999986</v>
      </c>
      <c r="AB60" s="17">
        <f>$H60*$Q60/100</f>
        <v>42</v>
      </c>
      <c r="AC60" s="7">
        <f t="shared" si="8"/>
        <v>0.67</v>
      </c>
      <c r="AD60" s="7">
        <f t="shared" si="9"/>
        <v>0.7</v>
      </c>
      <c r="AE60" s="7">
        <f t="shared" si="10"/>
        <v>0.5275590551181103</v>
      </c>
      <c r="AF60" s="7">
        <f t="shared" si="11"/>
        <v>0.80924855491329484</v>
      </c>
      <c r="AG60" s="7">
        <f t="shared" si="12"/>
        <v>2.2333333333333329</v>
      </c>
      <c r="AH60" s="7">
        <f t="shared" si="13"/>
        <v>0.47142857142857142</v>
      </c>
      <c r="AI60" s="7">
        <f t="shared" si="14"/>
        <v>0.69000000000000006</v>
      </c>
      <c r="AJ60" s="20">
        <f t="shared" si="15"/>
        <v>4.7373737373737379</v>
      </c>
    </row>
    <row r="61" spans="2:36" x14ac:dyDescent="0.3">
      <c r="B61" s="6"/>
      <c r="C61" s="8"/>
      <c r="D61" s="6" t="s">
        <v>130</v>
      </c>
      <c r="E61" s="10" t="s">
        <v>6</v>
      </c>
      <c r="F61" s="6">
        <v>108</v>
      </c>
      <c r="G61" s="15">
        <f>19+17</f>
        <v>36</v>
      </c>
      <c r="H61" s="6">
        <f>46+26</f>
        <v>72</v>
      </c>
      <c r="I61" s="6" t="s">
        <v>365</v>
      </c>
      <c r="J61" s="6" t="s">
        <v>283</v>
      </c>
      <c r="K61" s="28">
        <v>2</v>
      </c>
      <c r="L61" s="11"/>
      <c r="M61" s="12"/>
      <c r="N61" s="12"/>
      <c r="O61" s="12"/>
      <c r="P61" s="7">
        <v>69</v>
      </c>
      <c r="Q61" s="7">
        <v>74</v>
      </c>
      <c r="R61" s="7">
        <v>57</v>
      </c>
      <c r="S61" s="7">
        <v>83</v>
      </c>
      <c r="T61" s="7"/>
      <c r="U61" s="7"/>
      <c r="V61" s="7">
        <v>72</v>
      </c>
      <c r="W61" s="7">
        <v>0.79500000000000004</v>
      </c>
      <c r="X61" s="7"/>
      <c r="Y61" s="17">
        <f>$G61*$P61/100</f>
        <v>24.84</v>
      </c>
      <c r="Z61" s="17">
        <f>$H61-$AB61</f>
        <v>18.72</v>
      </c>
      <c r="AA61" s="17">
        <f>$G61-$Y61</f>
        <v>11.16</v>
      </c>
      <c r="AB61" s="17">
        <f>$H61*$Q61/100</f>
        <v>53.28</v>
      </c>
      <c r="AC61" s="7">
        <f t="shared" si="8"/>
        <v>0.69</v>
      </c>
      <c r="AD61" s="7">
        <f t="shared" si="9"/>
        <v>0.74</v>
      </c>
      <c r="AE61" s="7">
        <f t="shared" si="10"/>
        <v>0.57024793388429751</v>
      </c>
      <c r="AF61" s="7">
        <f t="shared" si="11"/>
        <v>0.82681564245810057</v>
      </c>
      <c r="AG61" s="7">
        <f t="shared" si="12"/>
        <v>2.6538461538461537</v>
      </c>
      <c r="AH61" s="7">
        <f t="shared" si="13"/>
        <v>0.41891891891891897</v>
      </c>
      <c r="AI61" s="7">
        <f t="shared" si="14"/>
        <v>0.72333333333333338</v>
      </c>
      <c r="AJ61" s="20">
        <f t="shared" si="15"/>
        <v>6.3349875930521096</v>
      </c>
    </row>
    <row r="62" spans="2:36" x14ac:dyDescent="0.3">
      <c r="B62" s="6">
        <v>31</v>
      </c>
      <c r="C62" s="8" t="s">
        <v>74</v>
      </c>
      <c r="D62" s="6" t="s">
        <v>130</v>
      </c>
      <c r="E62" s="10" t="s">
        <v>379</v>
      </c>
      <c r="F62" s="6">
        <v>210</v>
      </c>
      <c r="G62" s="15">
        <v>106</v>
      </c>
      <c r="H62" s="6">
        <v>104</v>
      </c>
      <c r="I62" s="6" t="s">
        <v>365</v>
      </c>
      <c r="J62" s="6" t="s">
        <v>283</v>
      </c>
      <c r="K62" s="28">
        <v>1.82</v>
      </c>
      <c r="L62" s="11"/>
      <c r="M62" s="12"/>
      <c r="N62" s="12"/>
      <c r="O62" s="12"/>
      <c r="P62" s="7">
        <v>77.400000000000006</v>
      </c>
      <c r="Q62" s="7">
        <v>77.900000000000006</v>
      </c>
      <c r="R62" s="7">
        <v>78.099999999999994</v>
      </c>
      <c r="S62" s="7">
        <v>77.099999999999994</v>
      </c>
      <c r="T62" s="7"/>
      <c r="U62" s="7"/>
      <c r="V62" s="7">
        <v>77.599999999999994</v>
      </c>
      <c r="W62" s="7">
        <v>0.85</v>
      </c>
      <c r="X62" s="7"/>
      <c r="Y62" s="17">
        <f>$G62*$P62/100</f>
        <v>82.044000000000011</v>
      </c>
      <c r="Z62" s="17">
        <f>$H62-$AB62</f>
        <v>22.983999999999995</v>
      </c>
      <c r="AA62" s="17">
        <f>$G62-$Y62</f>
        <v>23.955999999999989</v>
      </c>
      <c r="AB62" s="17">
        <f>$H62*$Q62/100</f>
        <v>81.016000000000005</v>
      </c>
      <c r="AC62" s="7">
        <f t="shared" si="8"/>
        <v>0.77400000000000013</v>
      </c>
      <c r="AD62" s="7">
        <f t="shared" si="9"/>
        <v>0.77900000000000003</v>
      </c>
      <c r="AE62" s="7">
        <f t="shared" si="10"/>
        <v>0.7811631184065202</v>
      </c>
      <c r="AF62" s="7">
        <f t="shared" si="11"/>
        <v>0.77178676218420161</v>
      </c>
      <c r="AG62" s="7">
        <f t="shared" si="12"/>
        <v>3.5022624434389149</v>
      </c>
      <c r="AH62" s="7">
        <f t="shared" si="13"/>
        <v>0.29011553273427454</v>
      </c>
      <c r="AI62" s="7">
        <f t="shared" si="14"/>
        <v>0.77647619047619054</v>
      </c>
      <c r="AJ62" s="20">
        <f t="shared" si="15"/>
        <v>12.071957714331488</v>
      </c>
    </row>
    <row r="63" spans="2:36" x14ac:dyDescent="0.3">
      <c r="B63" s="6"/>
      <c r="C63" s="8"/>
      <c r="D63" s="6"/>
      <c r="E63" s="10" t="s">
        <v>380</v>
      </c>
      <c r="F63" s="6">
        <v>176</v>
      </c>
      <c r="G63" s="15">
        <f>44+62</f>
        <v>106</v>
      </c>
      <c r="H63" s="6">
        <f>2+39+29</f>
        <v>70</v>
      </c>
      <c r="I63" s="6" t="s">
        <v>365</v>
      </c>
      <c r="J63" s="6" t="s">
        <v>283</v>
      </c>
      <c r="K63" s="28">
        <v>1.82</v>
      </c>
      <c r="L63" s="11"/>
      <c r="M63" s="12"/>
      <c r="N63" s="12"/>
      <c r="O63" s="12"/>
      <c r="P63" s="7">
        <v>80.2</v>
      </c>
      <c r="Q63" s="7">
        <v>65.7</v>
      </c>
      <c r="R63" s="7">
        <v>78</v>
      </c>
      <c r="S63" s="7">
        <v>68.7</v>
      </c>
      <c r="T63" s="7"/>
      <c r="U63" s="7"/>
      <c r="V63" s="7">
        <v>74.400000000000006</v>
      </c>
      <c r="W63" s="7">
        <v>0.81</v>
      </c>
      <c r="X63" s="7"/>
      <c r="Y63" s="17">
        <f>$G63*$P63/100</f>
        <v>85.012</v>
      </c>
      <c r="Z63" s="17">
        <f>$H63-$AB63</f>
        <v>24.009999999999998</v>
      </c>
      <c r="AA63" s="17">
        <f>$G63-$Y63</f>
        <v>20.988</v>
      </c>
      <c r="AB63" s="17">
        <f>$H63*$Q63/100</f>
        <v>45.99</v>
      </c>
      <c r="AC63" s="7">
        <f t="shared" si="8"/>
        <v>0.80200000000000005</v>
      </c>
      <c r="AD63" s="7">
        <f t="shared" si="9"/>
        <v>0.65700000000000003</v>
      </c>
      <c r="AE63" s="7">
        <f t="shared" si="10"/>
        <v>0.77976922089119638</v>
      </c>
      <c r="AF63" s="7">
        <f t="shared" si="11"/>
        <v>0.6866433754367105</v>
      </c>
      <c r="AG63" s="7">
        <f t="shared" si="12"/>
        <v>2.3381924198250732</v>
      </c>
      <c r="AH63" s="7">
        <f t="shared" si="13"/>
        <v>0.30136986301369856</v>
      </c>
      <c r="AI63" s="7">
        <f t="shared" si="14"/>
        <v>0.74432954545454555</v>
      </c>
      <c r="AJ63" s="20">
        <f t="shared" si="15"/>
        <v>7.7585475748741066</v>
      </c>
    </row>
    <row r="64" spans="2:36" x14ac:dyDescent="0.3">
      <c r="B64" s="6">
        <v>32</v>
      </c>
      <c r="C64" s="8" t="s">
        <v>76</v>
      </c>
      <c r="D64" s="6" t="s">
        <v>132</v>
      </c>
      <c r="E64" s="10" t="s">
        <v>125</v>
      </c>
      <c r="F64" s="6">
        <v>70</v>
      </c>
      <c r="G64" s="15">
        <f>13+6</f>
        <v>19</v>
      </c>
      <c r="H64" s="6">
        <f>9+25+17</f>
        <v>51</v>
      </c>
      <c r="I64" s="6" t="s">
        <v>365</v>
      </c>
      <c r="J64" s="6" t="s">
        <v>283</v>
      </c>
      <c r="K64" s="28">
        <v>0.82</v>
      </c>
      <c r="L64" s="11"/>
      <c r="M64" s="12"/>
      <c r="N64" s="12"/>
      <c r="O64" s="12"/>
      <c r="P64" s="7">
        <v>87.5</v>
      </c>
      <c r="Q64" s="7">
        <v>64</v>
      </c>
      <c r="R64" s="7"/>
      <c r="S64" s="7"/>
      <c r="T64" s="7"/>
      <c r="U64" s="7"/>
      <c r="V64" s="7"/>
      <c r="W64" s="7">
        <v>0.79100000000000004</v>
      </c>
      <c r="X64" s="7"/>
      <c r="Y64" s="17">
        <f>$G64*$P64/100</f>
        <v>16.625</v>
      </c>
      <c r="Z64" s="17">
        <f>$H64-$AB64</f>
        <v>18.36</v>
      </c>
      <c r="AA64" s="17">
        <f>$G64-$Y64</f>
        <v>2.375</v>
      </c>
      <c r="AB64" s="17">
        <f>$H64*$Q64/100</f>
        <v>32.64</v>
      </c>
      <c r="AC64" s="7">
        <f t="shared" si="8"/>
        <v>0.875</v>
      </c>
      <c r="AD64" s="7">
        <f t="shared" si="9"/>
        <v>0.64</v>
      </c>
      <c r="AE64" s="7">
        <f t="shared" si="10"/>
        <v>0.47520365871087611</v>
      </c>
      <c r="AF64" s="7">
        <f t="shared" si="11"/>
        <v>0.93217192631729262</v>
      </c>
      <c r="AG64" s="7">
        <f t="shared" si="12"/>
        <v>2.4305555555555558</v>
      </c>
      <c r="AH64" s="7">
        <f t="shared" si="13"/>
        <v>0.1953125</v>
      </c>
      <c r="AI64" s="7">
        <f t="shared" si="14"/>
        <v>0.70378571428571435</v>
      </c>
      <c r="AJ64" s="20">
        <f t="shared" si="15"/>
        <v>12.444444444444445</v>
      </c>
    </row>
    <row r="65" spans="2:36" x14ac:dyDescent="0.3">
      <c r="B65" s="6">
        <v>33</v>
      </c>
      <c r="C65" s="8" t="s">
        <v>79</v>
      </c>
      <c r="D65" s="6" t="s">
        <v>131</v>
      </c>
      <c r="E65" s="10" t="s">
        <v>191</v>
      </c>
      <c r="F65" s="6">
        <v>64</v>
      </c>
      <c r="G65" s="6" t="s">
        <v>283</v>
      </c>
      <c r="H65" s="6" t="s">
        <v>283</v>
      </c>
      <c r="I65" s="6" t="s">
        <v>365</v>
      </c>
      <c r="J65" s="6" t="s">
        <v>283</v>
      </c>
      <c r="K65" s="28" t="s">
        <v>283</v>
      </c>
      <c r="L65" s="31" t="s">
        <v>283</v>
      </c>
      <c r="M65" s="16" t="s">
        <v>283</v>
      </c>
      <c r="N65" s="16" t="s">
        <v>283</v>
      </c>
      <c r="O65" s="16" t="s">
        <v>283</v>
      </c>
      <c r="P65" s="6" t="s">
        <v>283</v>
      </c>
      <c r="Q65" s="6" t="s">
        <v>283</v>
      </c>
      <c r="R65" s="6" t="s">
        <v>283</v>
      </c>
      <c r="S65" s="6" t="s">
        <v>283</v>
      </c>
      <c r="T65" s="6" t="s">
        <v>283</v>
      </c>
      <c r="U65" s="6" t="s">
        <v>283</v>
      </c>
      <c r="V65" s="6" t="s">
        <v>283</v>
      </c>
      <c r="W65" s="6" t="s">
        <v>283</v>
      </c>
      <c r="X65" s="6" t="s">
        <v>283</v>
      </c>
      <c r="Y65" s="16" t="s">
        <v>283</v>
      </c>
      <c r="Z65" s="16" t="s">
        <v>283</v>
      </c>
      <c r="AA65" s="16" t="s">
        <v>283</v>
      </c>
      <c r="AB65" s="16" t="s">
        <v>283</v>
      </c>
      <c r="AC65" s="6" t="s">
        <v>283</v>
      </c>
      <c r="AD65" s="6" t="s">
        <v>283</v>
      </c>
      <c r="AE65" s="6" t="s">
        <v>283</v>
      </c>
      <c r="AF65" s="6" t="s">
        <v>283</v>
      </c>
      <c r="AG65" s="6" t="s">
        <v>283</v>
      </c>
      <c r="AH65" s="6" t="s">
        <v>283</v>
      </c>
      <c r="AI65" s="6" t="s">
        <v>283</v>
      </c>
      <c r="AJ65" s="21" t="s">
        <v>283</v>
      </c>
    </row>
    <row r="66" spans="2:36" x14ac:dyDescent="0.3">
      <c r="B66" s="6">
        <v>34</v>
      </c>
      <c r="C66" s="8" t="s">
        <v>81</v>
      </c>
      <c r="D66" s="6" t="s">
        <v>130</v>
      </c>
      <c r="E66" s="10" t="s">
        <v>120</v>
      </c>
      <c r="F66" s="6">
        <v>593</v>
      </c>
      <c r="G66" s="15">
        <f>103+54</f>
        <v>157</v>
      </c>
      <c r="H66" s="6">
        <f>8+284+144</f>
        <v>436</v>
      </c>
      <c r="I66" s="6" t="s">
        <v>365</v>
      </c>
      <c r="J66" s="6" t="s">
        <v>283</v>
      </c>
      <c r="K66" s="28">
        <v>1.5</v>
      </c>
      <c r="L66" s="11"/>
      <c r="M66" s="12"/>
      <c r="N66" s="12"/>
      <c r="O66" s="12"/>
      <c r="P66" s="7">
        <v>79</v>
      </c>
      <c r="Q66" s="7">
        <v>68</v>
      </c>
      <c r="R66" s="7">
        <v>46</v>
      </c>
      <c r="S66" s="7">
        <v>89</v>
      </c>
      <c r="T66" s="7"/>
      <c r="U66" s="7"/>
      <c r="V66" s="7"/>
      <c r="W66" s="7">
        <v>0.78800000000000003</v>
      </c>
      <c r="X66" s="7" t="s">
        <v>174</v>
      </c>
      <c r="Y66" s="17">
        <f>$G66*$P66/100</f>
        <v>124.03</v>
      </c>
      <c r="Z66" s="17">
        <f>$H66-$AB66</f>
        <v>139.51999999999998</v>
      </c>
      <c r="AA66" s="17">
        <f>$G66-$Y66</f>
        <v>32.97</v>
      </c>
      <c r="AB66" s="17">
        <f>$H66*$Q66/100</f>
        <v>296.48</v>
      </c>
      <c r="AC66" s="7">
        <f t="shared" si="8"/>
        <v>0.79</v>
      </c>
      <c r="AD66" s="7">
        <f t="shared" si="9"/>
        <v>0.68</v>
      </c>
      <c r="AE66" s="7">
        <f t="shared" si="10"/>
        <v>0.4706127869474484</v>
      </c>
      <c r="AF66" s="7">
        <f t="shared" si="11"/>
        <v>0.89992411595082711</v>
      </c>
      <c r="AG66" s="7">
        <f t="shared" si="12"/>
        <v>2.4687500000000004</v>
      </c>
      <c r="AH66" s="7">
        <f t="shared" si="13"/>
        <v>0.30882352941176461</v>
      </c>
      <c r="AI66" s="7">
        <f t="shared" si="14"/>
        <v>0.70912310286677904</v>
      </c>
      <c r="AJ66" s="20">
        <f t="shared" si="15"/>
        <v>7.9940476190476213</v>
      </c>
    </row>
    <row r="67" spans="2:36" x14ac:dyDescent="0.3">
      <c r="B67" s="6">
        <v>35</v>
      </c>
      <c r="C67" s="8" t="s">
        <v>82</v>
      </c>
      <c r="D67" s="6" t="s">
        <v>132</v>
      </c>
      <c r="E67" s="10" t="s">
        <v>381</v>
      </c>
      <c r="F67" s="6">
        <v>221</v>
      </c>
      <c r="G67" s="6" t="s">
        <v>283</v>
      </c>
      <c r="H67" s="6" t="s">
        <v>283</v>
      </c>
      <c r="I67" s="6" t="s">
        <v>365</v>
      </c>
      <c r="J67" s="6" t="s">
        <v>283</v>
      </c>
      <c r="K67" s="28" t="s">
        <v>283</v>
      </c>
      <c r="L67" s="31" t="s">
        <v>283</v>
      </c>
      <c r="M67" s="16" t="s">
        <v>283</v>
      </c>
      <c r="N67" s="16" t="s">
        <v>283</v>
      </c>
      <c r="O67" s="16" t="s">
        <v>283</v>
      </c>
      <c r="P67" s="6" t="s">
        <v>283</v>
      </c>
      <c r="Q67" s="6" t="s">
        <v>283</v>
      </c>
      <c r="R67" s="6" t="s">
        <v>283</v>
      </c>
      <c r="S67" s="6" t="s">
        <v>283</v>
      </c>
      <c r="T67" s="6" t="s">
        <v>283</v>
      </c>
      <c r="U67" s="6" t="s">
        <v>283</v>
      </c>
      <c r="V67" s="6" t="s">
        <v>283</v>
      </c>
      <c r="W67" s="6" t="s">
        <v>283</v>
      </c>
      <c r="X67" s="6" t="s">
        <v>283</v>
      </c>
      <c r="Y67" s="16" t="s">
        <v>283</v>
      </c>
      <c r="Z67" s="16" t="s">
        <v>283</v>
      </c>
      <c r="AA67" s="16" t="s">
        <v>283</v>
      </c>
      <c r="AB67" s="16" t="s">
        <v>283</v>
      </c>
      <c r="AC67" s="6" t="s">
        <v>283</v>
      </c>
      <c r="AD67" s="6" t="s">
        <v>283</v>
      </c>
      <c r="AE67" s="6" t="s">
        <v>283</v>
      </c>
      <c r="AF67" s="6" t="s">
        <v>283</v>
      </c>
      <c r="AG67" s="6" t="s">
        <v>283</v>
      </c>
      <c r="AH67" s="6" t="s">
        <v>283</v>
      </c>
      <c r="AI67" s="6" t="s">
        <v>283</v>
      </c>
      <c r="AJ67" s="21" t="s">
        <v>283</v>
      </c>
    </row>
    <row r="68" spans="2:36" x14ac:dyDescent="0.3">
      <c r="B68" s="6"/>
      <c r="C68" s="8"/>
      <c r="D68" s="6"/>
      <c r="E68" s="10" t="s">
        <v>382</v>
      </c>
      <c r="F68" s="6">
        <v>76</v>
      </c>
      <c r="G68" s="6" t="s">
        <v>283</v>
      </c>
      <c r="H68" s="6" t="s">
        <v>283</v>
      </c>
      <c r="I68" s="6" t="s">
        <v>365</v>
      </c>
      <c r="J68" s="6" t="s">
        <v>283</v>
      </c>
      <c r="K68" s="28" t="s">
        <v>283</v>
      </c>
      <c r="L68" s="31" t="s">
        <v>283</v>
      </c>
      <c r="M68" s="16" t="s">
        <v>283</v>
      </c>
      <c r="N68" s="16" t="s">
        <v>283</v>
      </c>
      <c r="O68" s="16" t="s">
        <v>283</v>
      </c>
      <c r="P68" s="6" t="s">
        <v>283</v>
      </c>
      <c r="Q68" s="6" t="s">
        <v>283</v>
      </c>
      <c r="R68" s="6" t="s">
        <v>283</v>
      </c>
      <c r="S68" s="6" t="s">
        <v>283</v>
      </c>
      <c r="T68" s="6" t="s">
        <v>283</v>
      </c>
      <c r="U68" s="6" t="s">
        <v>283</v>
      </c>
      <c r="V68" s="6" t="s">
        <v>283</v>
      </c>
      <c r="W68" s="6" t="s">
        <v>283</v>
      </c>
      <c r="X68" s="6" t="s">
        <v>283</v>
      </c>
      <c r="Y68" s="16" t="s">
        <v>283</v>
      </c>
      <c r="Z68" s="16" t="s">
        <v>283</v>
      </c>
      <c r="AA68" s="16" t="s">
        <v>283</v>
      </c>
      <c r="AB68" s="16" t="s">
        <v>283</v>
      </c>
      <c r="AC68" s="6" t="s">
        <v>283</v>
      </c>
      <c r="AD68" s="6" t="s">
        <v>283</v>
      </c>
      <c r="AE68" s="6" t="s">
        <v>283</v>
      </c>
      <c r="AF68" s="6" t="s">
        <v>283</v>
      </c>
      <c r="AG68" s="6" t="s">
        <v>283</v>
      </c>
      <c r="AH68" s="6" t="s">
        <v>283</v>
      </c>
      <c r="AI68" s="6" t="s">
        <v>283</v>
      </c>
      <c r="AJ68" s="21" t="s">
        <v>283</v>
      </c>
    </row>
    <row r="69" spans="2:36" x14ac:dyDescent="0.3">
      <c r="B69" s="6">
        <v>36</v>
      </c>
      <c r="C69" s="8" t="s">
        <v>83</v>
      </c>
      <c r="D69" s="6" t="s">
        <v>132</v>
      </c>
      <c r="E69" s="10" t="s">
        <v>125</v>
      </c>
      <c r="F69" s="6">
        <v>95</v>
      </c>
      <c r="G69" s="15">
        <f>10+40</f>
        <v>50</v>
      </c>
      <c r="H69" s="6">
        <f>16+29</f>
        <v>45</v>
      </c>
      <c r="I69" s="6" t="s">
        <v>365</v>
      </c>
      <c r="J69" s="6" t="s">
        <v>283</v>
      </c>
      <c r="K69" s="28">
        <v>1.6</v>
      </c>
      <c r="L69" s="11"/>
      <c r="M69" s="12"/>
      <c r="N69" s="12"/>
      <c r="O69" s="12"/>
      <c r="P69" s="7">
        <v>36</v>
      </c>
      <c r="Q69" s="7">
        <v>88.9</v>
      </c>
      <c r="R69" s="7">
        <v>78.3</v>
      </c>
      <c r="S69" s="7">
        <v>55.6</v>
      </c>
      <c r="T69" s="7"/>
      <c r="U69" s="7"/>
      <c r="V69" s="7"/>
      <c r="W69" s="7">
        <v>0.69399999999999995</v>
      </c>
      <c r="X69" s="7" t="s">
        <v>178</v>
      </c>
      <c r="Y69" s="17">
        <f t="shared" ref="Y69:Y76" si="20">$G69*$P69/100</f>
        <v>18</v>
      </c>
      <c r="Z69" s="17">
        <f t="shared" ref="Z69:Z76" si="21">$H69-$AB69</f>
        <v>4.9949999999999974</v>
      </c>
      <c r="AA69" s="17">
        <f t="shared" ref="AA69:AA76" si="22">$G69-$Y69</f>
        <v>32</v>
      </c>
      <c r="AB69" s="17">
        <f t="shared" ref="AB69:AB76" si="23">$H69*$Q69/100</f>
        <v>40.005000000000003</v>
      </c>
      <c r="AC69" s="7">
        <f t="shared" ref="AC69:AC80" si="24">$Y69/($Y69+$AA69)</f>
        <v>0.36</v>
      </c>
      <c r="AD69" s="7">
        <f t="shared" ref="AD69:AD80" si="25">$AB69/($Z69+$AB69)</f>
        <v>0.88900000000000001</v>
      </c>
      <c r="AE69" s="7">
        <f t="shared" ref="AE69:AE80" si="26">$Y69/($Y69+$Z69)</f>
        <v>0.78277886497064586</v>
      </c>
      <c r="AF69" s="7">
        <f t="shared" ref="AF69:AF80" si="27">$AB69/($AA69+$AB69)</f>
        <v>0.55558641760988825</v>
      </c>
      <c r="AG69" s="7">
        <f t="shared" ref="AG69:AG80" si="28">$AC69/(1-$AD69)</f>
        <v>3.2432432432432434</v>
      </c>
      <c r="AH69" s="7">
        <f t="shared" ref="AH69:AH80" si="29">(1-$AC69)/$AD69</f>
        <v>0.71991001124859388</v>
      </c>
      <c r="AI69" s="7">
        <f t="shared" ref="AI69:AI80" si="30">($Y69+$AB69)/($Y69+$Z69+$AA69+$AB69)</f>
        <v>0.61057894736842111</v>
      </c>
      <c r="AJ69" s="20">
        <f t="shared" ref="AJ69:AJ80" si="31">($Y69*$AB69)/($Z69*$AA69)</f>
        <v>4.5050675675675702</v>
      </c>
    </row>
    <row r="70" spans="2:36" x14ac:dyDescent="0.3">
      <c r="B70" s="6"/>
      <c r="C70" s="8"/>
      <c r="D70" s="6"/>
      <c r="E70" s="10"/>
      <c r="F70" s="6">
        <v>95</v>
      </c>
      <c r="G70" s="15">
        <f>10+40</f>
        <v>50</v>
      </c>
      <c r="H70" s="6">
        <f>16+29</f>
        <v>45</v>
      </c>
      <c r="I70" s="6" t="s">
        <v>283</v>
      </c>
      <c r="J70" s="6" t="s">
        <v>228</v>
      </c>
      <c r="K70" s="28" t="s">
        <v>396</v>
      </c>
      <c r="L70" s="11"/>
      <c r="M70" s="12"/>
      <c r="N70" s="12"/>
      <c r="O70" s="12"/>
      <c r="P70" s="7">
        <v>82</v>
      </c>
      <c r="Q70" s="7">
        <v>82.2</v>
      </c>
      <c r="R70" s="7">
        <v>83.7</v>
      </c>
      <c r="S70" s="7">
        <v>80.400000000000006</v>
      </c>
      <c r="T70" s="7"/>
      <c r="U70" s="7"/>
      <c r="V70" s="7"/>
      <c r="W70" s="7">
        <v>0.86299999999999999</v>
      </c>
      <c r="X70" s="7" t="s">
        <v>257</v>
      </c>
      <c r="Y70" s="17">
        <f t="shared" si="20"/>
        <v>41</v>
      </c>
      <c r="Z70" s="17">
        <f t="shared" si="21"/>
        <v>8.009999999999998</v>
      </c>
      <c r="AA70" s="17">
        <f t="shared" si="22"/>
        <v>9</v>
      </c>
      <c r="AB70" s="17">
        <f t="shared" si="23"/>
        <v>36.99</v>
      </c>
      <c r="AC70" s="7">
        <f t="shared" si="24"/>
        <v>0.82</v>
      </c>
      <c r="AD70" s="7">
        <f t="shared" si="25"/>
        <v>0.82200000000000006</v>
      </c>
      <c r="AE70" s="7">
        <f t="shared" si="26"/>
        <v>0.83656396653744136</v>
      </c>
      <c r="AF70" s="7">
        <f t="shared" si="27"/>
        <v>0.80430528375733856</v>
      </c>
      <c r="AG70" s="7">
        <f t="shared" si="28"/>
        <v>4.6067415730337089</v>
      </c>
      <c r="AH70" s="7">
        <f t="shared" si="29"/>
        <v>0.21897810218978106</v>
      </c>
      <c r="AI70" s="7">
        <f t="shared" si="30"/>
        <v>0.82094736842105276</v>
      </c>
      <c r="AJ70" s="20">
        <f t="shared" si="31"/>
        <v>21.037453183520608</v>
      </c>
    </row>
    <row r="71" spans="2:36" x14ac:dyDescent="0.3">
      <c r="B71" s="6">
        <v>37</v>
      </c>
      <c r="C71" s="8" t="s">
        <v>85</v>
      </c>
      <c r="D71" s="6" t="s">
        <v>131</v>
      </c>
      <c r="E71" s="10" t="s">
        <v>128</v>
      </c>
      <c r="F71" s="6">
        <v>57</v>
      </c>
      <c r="G71" s="15">
        <f>11+5</f>
        <v>16</v>
      </c>
      <c r="H71" s="6">
        <f>0+24+17</f>
        <v>41</v>
      </c>
      <c r="I71" s="6" t="s">
        <v>365</v>
      </c>
      <c r="J71" s="6" t="s">
        <v>283</v>
      </c>
      <c r="K71" s="28">
        <v>3.4</v>
      </c>
      <c r="L71" s="11"/>
      <c r="M71" s="12"/>
      <c r="N71" s="12"/>
      <c r="O71" s="12"/>
      <c r="P71" s="7">
        <v>50</v>
      </c>
      <c r="Q71" s="7">
        <v>92.7</v>
      </c>
      <c r="R71" s="7"/>
      <c r="S71" s="7"/>
      <c r="T71" s="7"/>
      <c r="U71" s="7"/>
      <c r="V71" s="7"/>
      <c r="W71" s="7">
        <v>0.73</v>
      </c>
      <c r="X71" s="7"/>
      <c r="Y71" s="17">
        <f t="shared" si="20"/>
        <v>8</v>
      </c>
      <c r="Z71" s="17">
        <f t="shared" si="21"/>
        <v>2.992999999999995</v>
      </c>
      <c r="AA71" s="17">
        <f t="shared" si="22"/>
        <v>8</v>
      </c>
      <c r="AB71" s="17">
        <f t="shared" si="23"/>
        <v>38.007000000000005</v>
      </c>
      <c r="AC71" s="7">
        <f t="shared" si="24"/>
        <v>0.5</v>
      </c>
      <c r="AD71" s="7">
        <f t="shared" si="25"/>
        <v>0.92700000000000016</v>
      </c>
      <c r="AE71" s="7">
        <f t="shared" si="26"/>
        <v>0.72773583189302316</v>
      </c>
      <c r="AF71" s="7">
        <f t="shared" si="27"/>
        <v>0.82611341752342038</v>
      </c>
      <c r="AG71" s="7">
        <f t="shared" si="28"/>
        <v>6.8493150684931656</v>
      </c>
      <c r="AH71" s="7">
        <f t="shared" si="29"/>
        <v>0.53937432578209266</v>
      </c>
      <c r="AI71" s="7">
        <f t="shared" si="30"/>
        <v>0.80714035087719305</v>
      </c>
      <c r="AJ71" s="20">
        <f t="shared" si="31"/>
        <v>12.698630136986324</v>
      </c>
    </row>
    <row r="72" spans="2:36" x14ac:dyDescent="0.3">
      <c r="B72" s="6">
        <v>38</v>
      </c>
      <c r="C72" s="8" t="s">
        <v>86</v>
      </c>
      <c r="D72" s="6" t="s">
        <v>18</v>
      </c>
      <c r="E72" s="10" t="s">
        <v>119</v>
      </c>
      <c r="F72" s="6">
        <v>134</v>
      </c>
      <c r="G72" s="15">
        <f>25+13</f>
        <v>38</v>
      </c>
      <c r="H72" s="6">
        <f>28+68</f>
        <v>96</v>
      </c>
      <c r="I72" s="6" t="s">
        <v>365</v>
      </c>
      <c r="J72" s="6" t="s">
        <v>283</v>
      </c>
      <c r="K72" s="28">
        <v>1.1000000000000001</v>
      </c>
      <c r="L72" s="11"/>
      <c r="M72" s="12"/>
      <c r="N72" s="12"/>
      <c r="O72" s="12"/>
      <c r="P72" s="7">
        <v>73.7</v>
      </c>
      <c r="Q72" s="7">
        <v>80.2</v>
      </c>
      <c r="R72" s="7">
        <v>59.6</v>
      </c>
      <c r="S72" s="7">
        <v>88.5</v>
      </c>
      <c r="T72" s="7"/>
      <c r="U72" s="7"/>
      <c r="V72" s="7">
        <v>78.400000000000006</v>
      </c>
      <c r="W72" s="7">
        <v>0.84199999999999997</v>
      </c>
      <c r="X72" s="7"/>
      <c r="Y72" s="17">
        <f t="shared" si="20"/>
        <v>28.006</v>
      </c>
      <c r="Z72" s="17">
        <f t="shared" si="21"/>
        <v>19.007999999999996</v>
      </c>
      <c r="AA72" s="17">
        <f t="shared" si="22"/>
        <v>9.9939999999999998</v>
      </c>
      <c r="AB72" s="17">
        <f t="shared" si="23"/>
        <v>76.992000000000004</v>
      </c>
      <c r="AC72" s="7">
        <f t="shared" si="24"/>
        <v>0.73699999999999999</v>
      </c>
      <c r="AD72" s="7">
        <f t="shared" si="25"/>
        <v>0.80200000000000005</v>
      </c>
      <c r="AE72" s="7">
        <f t="shared" si="26"/>
        <v>0.59569489939167064</v>
      </c>
      <c r="AF72" s="7">
        <f t="shared" si="27"/>
        <v>0.88510794840549056</v>
      </c>
      <c r="AG72" s="7">
        <f t="shared" si="28"/>
        <v>3.7222222222222232</v>
      </c>
      <c r="AH72" s="7">
        <f t="shared" si="29"/>
        <v>0.32793017456359103</v>
      </c>
      <c r="AI72" s="7">
        <f t="shared" si="30"/>
        <v>0.78356716417910455</v>
      </c>
      <c r="AJ72" s="20">
        <f t="shared" si="31"/>
        <v>11.350654837346855</v>
      </c>
    </row>
    <row r="73" spans="2:36" x14ac:dyDescent="0.3">
      <c r="B73" s="6">
        <v>39</v>
      </c>
      <c r="C73" s="8" t="s">
        <v>87</v>
      </c>
      <c r="D73" s="6" t="s">
        <v>132</v>
      </c>
      <c r="E73" s="10" t="s">
        <v>381</v>
      </c>
      <c r="F73" s="6">
        <v>125</v>
      </c>
      <c r="G73" s="15">
        <f>14+11</f>
        <v>25</v>
      </c>
      <c r="H73" s="6">
        <f>10+63+27</f>
        <v>100</v>
      </c>
      <c r="I73" s="6" t="s">
        <v>365</v>
      </c>
      <c r="J73" s="6" t="s">
        <v>283</v>
      </c>
      <c r="K73" s="28">
        <v>1.42</v>
      </c>
      <c r="L73" s="11"/>
      <c r="M73" s="12"/>
      <c r="N73" s="12"/>
      <c r="O73" s="12"/>
      <c r="P73" s="7">
        <v>72</v>
      </c>
      <c r="Q73" s="7">
        <v>69</v>
      </c>
      <c r="R73" s="7">
        <v>36.700000000000003</v>
      </c>
      <c r="S73" s="7">
        <v>90.8</v>
      </c>
      <c r="T73" s="7"/>
      <c r="U73" s="7"/>
      <c r="V73" s="7">
        <v>69.599999999999994</v>
      </c>
      <c r="W73" s="7">
        <v>0.73819999999999997</v>
      </c>
      <c r="X73" s="7"/>
      <c r="Y73" s="17">
        <f t="shared" si="20"/>
        <v>18</v>
      </c>
      <c r="Z73" s="17">
        <f t="shared" si="21"/>
        <v>31</v>
      </c>
      <c r="AA73" s="17">
        <f t="shared" si="22"/>
        <v>7</v>
      </c>
      <c r="AB73" s="17">
        <f t="shared" si="23"/>
        <v>69</v>
      </c>
      <c r="AC73" s="7">
        <f t="shared" si="24"/>
        <v>0.72</v>
      </c>
      <c r="AD73" s="7">
        <f t="shared" si="25"/>
        <v>0.69</v>
      </c>
      <c r="AE73" s="7">
        <f t="shared" si="26"/>
        <v>0.36734693877551022</v>
      </c>
      <c r="AF73" s="7">
        <f t="shared" si="27"/>
        <v>0.90789473684210531</v>
      </c>
      <c r="AG73" s="7">
        <f t="shared" si="28"/>
        <v>2.32258064516129</v>
      </c>
      <c r="AH73" s="7">
        <f t="shared" si="29"/>
        <v>0.40579710144927544</v>
      </c>
      <c r="AI73" s="7">
        <f t="shared" si="30"/>
        <v>0.69599999999999995</v>
      </c>
      <c r="AJ73" s="20">
        <f t="shared" si="31"/>
        <v>5.7235023041474653</v>
      </c>
    </row>
    <row r="74" spans="2:36" x14ac:dyDescent="0.3">
      <c r="B74" s="6"/>
      <c r="C74" s="8"/>
      <c r="D74" s="6"/>
      <c r="E74" s="10" t="s">
        <v>382</v>
      </c>
      <c r="F74" s="6">
        <v>124</v>
      </c>
      <c r="G74" s="15">
        <f>27+8</f>
        <v>35</v>
      </c>
      <c r="H74" s="6">
        <f>4+61+24</f>
        <v>89</v>
      </c>
      <c r="I74" s="6" t="s">
        <v>365</v>
      </c>
      <c r="J74" s="6" t="s">
        <v>283</v>
      </c>
      <c r="K74" s="28">
        <v>1.42</v>
      </c>
      <c r="L74" s="11"/>
      <c r="M74" s="12"/>
      <c r="N74" s="12"/>
      <c r="O74" s="12"/>
      <c r="P74" s="7">
        <v>62.9</v>
      </c>
      <c r="Q74" s="7">
        <v>69.7</v>
      </c>
      <c r="R74" s="7">
        <v>44.9</v>
      </c>
      <c r="S74" s="7">
        <v>82.7</v>
      </c>
      <c r="T74" s="7"/>
      <c r="U74" s="7"/>
      <c r="V74" s="7">
        <v>68.5</v>
      </c>
      <c r="W74" s="7">
        <v>0.7157</v>
      </c>
      <c r="X74" s="7"/>
      <c r="Y74" s="17">
        <f t="shared" si="20"/>
        <v>22.015000000000001</v>
      </c>
      <c r="Z74" s="17">
        <f t="shared" si="21"/>
        <v>26.966999999999999</v>
      </c>
      <c r="AA74" s="17">
        <f t="shared" si="22"/>
        <v>12.984999999999999</v>
      </c>
      <c r="AB74" s="17">
        <f t="shared" si="23"/>
        <v>62.033000000000001</v>
      </c>
      <c r="AC74" s="7">
        <f t="shared" si="24"/>
        <v>0.629</v>
      </c>
      <c r="AD74" s="7">
        <f t="shared" si="25"/>
        <v>0.69700000000000006</v>
      </c>
      <c r="AE74" s="7">
        <f t="shared" si="26"/>
        <v>0.44945081866808217</v>
      </c>
      <c r="AF74" s="7">
        <f t="shared" si="27"/>
        <v>0.82690820869657955</v>
      </c>
      <c r="AG74" s="7">
        <f t="shared" si="28"/>
        <v>2.0759075907590763</v>
      </c>
      <c r="AH74" s="7">
        <f t="shared" si="29"/>
        <v>0.53228120516499278</v>
      </c>
      <c r="AI74" s="7">
        <f t="shared" si="30"/>
        <v>0.6778064516129032</v>
      </c>
      <c r="AJ74" s="20">
        <f t="shared" si="31"/>
        <v>3.9000204602670516</v>
      </c>
    </row>
    <row r="75" spans="2:36" x14ac:dyDescent="0.3">
      <c r="B75" s="6">
        <v>40</v>
      </c>
      <c r="C75" s="8" t="s">
        <v>88</v>
      </c>
      <c r="D75" s="6" t="s">
        <v>130</v>
      </c>
      <c r="E75" s="10" t="s">
        <v>120</v>
      </c>
      <c r="F75" s="6">
        <v>146</v>
      </c>
      <c r="G75" s="15">
        <v>37</v>
      </c>
      <c r="H75" s="6">
        <v>109</v>
      </c>
      <c r="I75" s="6" t="s">
        <v>365</v>
      </c>
      <c r="J75" s="6" t="s">
        <v>283</v>
      </c>
      <c r="K75" s="28">
        <v>2.17</v>
      </c>
      <c r="L75" s="11"/>
      <c r="M75" s="12"/>
      <c r="N75" s="12"/>
      <c r="O75" s="12"/>
      <c r="P75" s="7">
        <v>78.400000000000006</v>
      </c>
      <c r="Q75" s="7">
        <v>64.2</v>
      </c>
      <c r="R75" s="7">
        <v>42.6</v>
      </c>
      <c r="S75" s="7">
        <v>89.7</v>
      </c>
      <c r="T75" s="7">
        <v>2.2000000000000002</v>
      </c>
      <c r="U75" s="7">
        <v>0.5</v>
      </c>
      <c r="V75" s="7"/>
      <c r="W75" s="7">
        <v>0.74</v>
      </c>
      <c r="X75" s="7"/>
      <c r="Y75" s="17">
        <f t="shared" si="20"/>
        <v>29.008000000000003</v>
      </c>
      <c r="Z75" s="17">
        <f t="shared" si="21"/>
        <v>39.021999999999991</v>
      </c>
      <c r="AA75" s="17">
        <f t="shared" si="22"/>
        <v>7.9919999999999973</v>
      </c>
      <c r="AB75" s="17">
        <f t="shared" si="23"/>
        <v>69.978000000000009</v>
      </c>
      <c r="AC75" s="7">
        <f t="shared" si="24"/>
        <v>0.78400000000000003</v>
      </c>
      <c r="AD75" s="7">
        <f t="shared" si="25"/>
        <v>0.64200000000000013</v>
      </c>
      <c r="AE75" s="7">
        <f t="shared" si="26"/>
        <v>0.42640011759517865</v>
      </c>
      <c r="AF75" s="7">
        <f t="shared" si="27"/>
        <v>0.89749903809157383</v>
      </c>
      <c r="AG75" s="7">
        <f t="shared" si="28"/>
        <v>2.1899441340782131</v>
      </c>
      <c r="AH75" s="7">
        <f t="shared" si="29"/>
        <v>0.33644859813084099</v>
      </c>
      <c r="AI75" s="7">
        <f t="shared" si="30"/>
        <v>0.67798630136986315</v>
      </c>
      <c r="AJ75" s="20">
        <f t="shared" si="31"/>
        <v>6.5090006207324693</v>
      </c>
    </row>
    <row r="76" spans="2:36" x14ac:dyDescent="0.3">
      <c r="B76" s="6">
        <v>41</v>
      </c>
      <c r="C76" s="8" t="s">
        <v>90</v>
      </c>
      <c r="D76" s="6" t="s">
        <v>18</v>
      </c>
      <c r="E76" s="10" t="s">
        <v>123</v>
      </c>
      <c r="F76" s="6">
        <v>289</v>
      </c>
      <c r="G76" s="15">
        <f>41+51</f>
        <v>92</v>
      </c>
      <c r="H76" s="6">
        <f>35+113+49</f>
        <v>197</v>
      </c>
      <c r="I76" s="6" t="s">
        <v>365</v>
      </c>
      <c r="J76" s="6" t="s">
        <v>283</v>
      </c>
      <c r="K76" s="28">
        <v>0.94</v>
      </c>
      <c r="L76" s="11"/>
      <c r="M76" s="12"/>
      <c r="N76" s="12"/>
      <c r="O76" s="12"/>
      <c r="P76" s="7">
        <v>85.9</v>
      </c>
      <c r="Q76" s="7">
        <v>74.599999999999994</v>
      </c>
      <c r="R76" s="7">
        <v>61.2</v>
      </c>
      <c r="S76" s="7">
        <v>91.9</v>
      </c>
      <c r="T76" s="7"/>
      <c r="U76" s="7"/>
      <c r="V76" s="7">
        <v>78.2</v>
      </c>
      <c r="W76" s="7">
        <v>0.876</v>
      </c>
      <c r="X76" s="7" t="s">
        <v>181</v>
      </c>
      <c r="Y76" s="17">
        <f t="shared" si="20"/>
        <v>79.028000000000006</v>
      </c>
      <c r="Z76" s="17">
        <f t="shared" si="21"/>
        <v>50.038000000000011</v>
      </c>
      <c r="AA76" s="17">
        <f t="shared" si="22"/>
        <v>12.971999999999994</v>
      </c>
      <c r="AB76" s="17">
        <f t="shared" si="23"/>
        <v>146.96199999999999</v>
      </c>
      <c r="AC76" s="7">
        <f t="shared" si="24"/>
        <v>0.8590000000000001</v>
      </c>
      <c r="AD76" s="7">
        <f t="shared" si="25"/>
        <v>0.746</v>
      </c>
      <c r="AE76" s="7">
        <f t="shared" si="26"/>
        <v>0.61230688175042214</v>
      </c>
      <c r="AF76" s="7">
        <f t="shared" si="27"/>
        <v>0.91889154276138918</v>
      </c>
      <c r="AG76" s="7">
        <f t="shared" si="28"/>
        <v>3.3818897637795278</v>
      </c>
      <c r="AH76" s="7">
        <f t="shared" si="29"/>
        <v>0.18900804289544224</v>
      </c>
      <c r="AI76" s="7">
        <f t="shared" si="30"/>
        <v>0.78197231833910041</v>
      </c>
      <c r="AJ76" s="20">
        <f t="shared" si="31"/>
        <v>17.892835204110128</v>
      </c>
    </row>
    <row r="77" spans="2:36" x14ac:dyDescent="0.3">
      <c r="B77" s="6">
        <v>42</v>
      </c>
      <c r="C77" s="8" t="s">
        <v>93</v>
      </c>
      <c r="D77" s="6" t="s">
        <v>131</v>
      </c>
      <c r="E77" s="10" t="s">
        <v>126</v>
      </c>
      <c r="F77" s="6">
        <v>376</v>
      </c>
      <c r="G77" s="6" t="s">
        <v>283</v>
      </c>
      <c r="H77" s="6" t="s">
        <v>283</v>
      </c>
      <c r="I77" s="6" t="s">
        <v>365</v>
      </c>
      <c r="J77" s="6" t="s">
        <v>283</v>
      </c>
      <c r="K77" s="28" t="s">
        <v>283</v>
      </c>
      <c r="L77" s="31" t="s">
        <v>283</v>
      </c>
      <c r="M77" s="16" t="s">
        <v>283</v>
      </c>
      <c r="N77" s="16" t="s">
        <v>283</v>
      </c>
      <c r="O77" s="16" t="s">
        <v>283</v>
      </c>
      <c r="P77" s="6" t="s">
        <v>283</v>
      </c>
      <c r="Q77" s="6" t="s">
        <v>283</v>
      </c>
      <c r="R77" s="6" t="s">
        <v>283</v>
      </c>
      <c r="S77" s="6" t="s">
        <v>283</v>
      </c>
      <c r="T77" s="6" t="s">
        <v>283</v>
      </c>
      <c r="U77" s="6" t="s">
        <v>283</v>
      </c>
      <c r="V77" s="6" t="s">
        <v>283</v>
      </c>
      <c r="W77" s="6" t="s">
        <v>283</v>
      </c>
      <c r="X77" s="6" t="s">
        <v>283</v>
      </c>
      <c r="Y77" s="16" t="s">
        <v>283</v>
      </c>
      <c r="Z77" s="16" t="s">
        <v>283</v>
      </c>
      <c r="AA77" s="16" t="s">
        <v>283</v>
      </c>
      <c r="AB77" s="16" t="s">
        <v>283</v>
      </c>
      <c r="AC77" s="6" t="s">
        <v>283</v>
      </c>
      <c r="AD77" s="6" t="s">
        <v>283</v>
      </c>
      <c r="AE77" s="6" t="s">
        <v>283</v>
      </c>
      <c r="AF77" s="6" t="s">
        <v>283</v>
      </c>
      <c r="AG77" s="6" t="s">
        <v>283</v>
      </c>
      <c r="AH77" s="6" t="s">
        <v>283</v>
      </c>
      <c r="AI77" s="6" t="s">
        <v>283</v>
      </c>
      <c r="AJ77" s="6" t="s">
        <v>283</v>
      </c>
    </row>
    <row r="78" spans="2:36" x14ac:dyDescent="0.3">
      <c r="B78" s="6">
        <v>43</v>
      </c>
      <c r="C78" s="8" t="s">
        <v>95</v>
      </c>
      <c r="D78" s="6" t="s">
        <v>131</v>
      </c>
      <c r="E78" s="10" t="s">
        <v>129</v>
      </c>
      <c r="F78" s="6">
        <v>84</v>
      </c>
      <c r="G78" s="15">
        <f>24+18</f>
        <v>42</v>
      </c>
      <c r="H78" s="6">
        <f>18+24</f>
        <v>42</v>
      </c>
      <c r="I78" s="6" t="s">
        <v>365</v>
      </c>
      <c r="J78" s="6" t="s">
        <v>283</v>
      </c>
      <c r="K78" s="28">
        <v>3.7</v>
      </c>
      <c r="L78" s="11"/>
      <c r="M78" s="12"/>
      <c r="N78" s="12"/>
      <c r="O78" s="12"/>
      <c r="P78" s="7">
        <v>64.3</v>
      </c>
      <c r="Q78" s="7">
        <v>83.3</v>
      </c>
      <c r="R78" s="7"/>
      <c r="S78" s="7"/>
      <c r="T78" s="7"/>
      <c r="U78" s="7"/>
      <c r="V78" s="7"/>
      <c r="W78" s="7">
        <v>0.747</v>
      </c>
      <c r="X78" s="7"/>
      <c r="Y78" s="17">
        <f>$G78*$P78/100</f>
        <v>27.006</v>
      </c>
      <c r="Z78" s="17">
        <f>$H78-$AB78</f>
        <v>7.0140000000000029</v>
      </c>
      <c r="AA78" s="17">
        <f>$G78-$Y78</f>
        <v>14.994</v>
      </c>
      <c r="AB78" s="17">
        <f>$H78*$Q78/100</f>
        <v>34.985999999999997</v>
      </c>
      <c r="AC78" s="7">
        <f t="shared" si="24"/>
        <v>0.64300000000000002</v>
      </c>
      <c r="AD78" s="7">
        <f t="shared" si="25"/>
        <v>0.83299999999999996</v>
      </c>
      <c r="AE78" s="7">
        <f t="shared" si="26"/>
        <v>0.79382716049382707</v>
      </c>
      <c r="AF78" s="7">
        <f t="shared" si="27"/>
        <v>0.7</v>
      </c>
      <c r="AG78" s="7">
        <f t="shared" si="28"/>
        <v>3.8502994011976042</v>
      </c>
      <c r="AH78" s="7">
        <f t="shared" si="29"/>
        <v>0.42857142857142855</v>
      </c>
      <c r="AI78" s="7">
        <f t="shared" si="30"/>
        <v>0.73799999999999999</v>
      </c>
      <c r="AJ78" s="20">
        <f t="shared" si="31"/>
        <v>8.9840319361277405</v>
      </c>
    </row>
    <row r="79" spans="2:36" x14ac:dyDescent="0.3">
      <c r="B79" s="6">
        <v>44</v>
      </c>
      <c r="C79" s="8" t="s">
        <v>96</v>
      </c>
      <c r="D79" s="6" t="s">
        <v>131</v>
      </c>
      <c r="E79" s="10" t="s">
        <v>215</v>
      </c>
      <c r="F79" s="6">
        <v>200</v>
      </c>
      <c r="G79" s="15">
        <f>16+34</f>
        <v>50</v>
      </c>
      <c r="H79" s="6">
        <f>84+45+21</f>
        <v>150</v>
      </c>
      <c r="I79" s="6" t="s">
        <v>365</v>
      </c>
      <c r="J79" s="6" t="s">
        <v>283</v>
      </c>
      <c r="K79" s="28">
        <v>2.21</v>
      </c>
      <c r="L79" s="11"/>
      <c r="M79" s="12"/>
      <c r="N79" s="12"/>
      <c r="O79" s="12"/>
      <c r="P79" s="7">
        <v>88.2</v>
      </c>
      <c r="Q79" s="7">
        <v>78.7</v>
      </c>
      <c r="R79" s="7">
        <v>58.9</v>
      </c>
      <c r="S79" s="7">
        <v>94.5</v>
      </c>
      <c r="T79" s="7"/>
      <c r="U79" s="7"/>
      <c r="V79" s="7"/>
      <c r="W79" s="7">
        <v>0.81200000000000006</v>
      </c>
      <c r="X79" s="7"/>
      <c r="Y79" s="17">
        <f>$G79*$P79/100</f>
        <v>44.1</v>
      </c>
      <c r="Z79" s="17">
        <f>$H79-$AB79</f>
        <v>31.950000000000003</v>
      </c>
      <c r="AA79" s="17">
        <f>$G79-$Y79</f>
        <v>5.8999999999999986</v>
      </c>
      <c r="AB79" s="17">
        <f>$H79*$Q79/100</f>
        <v>118.05</v>
      </c>
      <c r="AC79" s="7">
        <f t="shared" si="24"/>
        <v>0.88200000000000001</v>
      </c>
      <c r="AD79" s="7">
        <f t="shared" si="25"/>
        <v>0.78700000000000003</v>
      </c>
      <c r="AE79" s="7">
        <f t="shared" si="26"/>
        <v>0.57988165680473369</v>
      </c>
      <c r="AF79" s="7">
        <f t="shared" si="27"/>
        <v>0.9524001613553853</v>
      </c>
      <c r="AG79" s="7">
        <f t="shared" si="28"/>
        <v>4.1408450704225359</v>
      </c>
      <c r="AH79" s="7">
        <f t="shared" si="29"/>
        <v>0.1499364675984752</v>
      </c>
      <c r="AI79" s="7">
        <f t="shared" si="30"/>
        <v>0.81075000000000008</v>
      </c>
      <c r="AJ79" s="20">
        <f t="shared" si="31"/>
        <v>27.617331105275728</v>
      </c>
    </row>
    <row r="80" spans="2:36" x14ac:dyDescent="0.3">
      <c r="B80" s="6">
        <v>45</v>
      </c>
      <c r="C80" s="8" t="s">
        <v>99</v>
      </c>
      <c r="D80" s="6" t="s">
        <v>131</v>
      </c>
      <c r="E80" s="10" t="s">
        <v>128</v>
      </c>
      <c r="F80" s="6">
        <v>137</v>
      </c>
      <c r="G80" s="15">
        <f>18+11</f>
        <v>29</v>
      </c>
      <c r="H80" s="6">
        <f>10+71+27</f>
        <v>108</v>
      </c>
      <c r="I80" s="6" t="s">
        <v>365</v>
      </c>
      <c r="J80" s="6" t="s">
        <v>283</v>
      </c>
      <c r="K80" s="28">
        <v>1.4</v>
      </c>
      <c r="L80" s="11"/>
      <c r="M80" s="12"/>
      <c r="N80" s="12"/>
      <c r="O80" s="12"/>
      <c r="P80" s="7">
        <v>83</v>
      </c>
      <c r="Q80" s="7">
        <v>90</v>
      </c>
      <c r="R80" s="7">
        <v>69</v>
      </c>
      <c r="S80" s="7">
        <v>95</v>
      </c>
      <c r="T80" s="7"/>
      <c r="U80" s="7"/>
      <c r="V80" s="7"/>
      <c r="W80" s="7">
        <v>0.93300000000000005</v>
      </c>
      <c r="X80" s="7" t="s">
        <v>184</v>
      </c>
      <c r="Y80" s="17">
        <f>$G80*$P80/100</f>
        <v>24.07</v>
      </c>
      <c r="Z80" s="17">
        <f>$H80-$AB80</f>
        <v>10.799999999999997</v>
      </c>
      <c r="AA80" s="17">
        <f>$G80-$Y80</f>
        <v>4.93</v>
      </c>
      <c r="AB80" s="17">
        <f>$H80*$Q80/100</f>
        <v>97.2</v>
      </c>
      <c r="AC80" s="7">
        <f t="shared" si="24"/>
        <v>0.83</v>
      </c>
      <c r="AD80" s="7">
        <f t="shared" si="25"/>
        <v>0.9</v>
      </c>
      <c r="AE80" s="7">
        <f t="shared" si="26"/>
        <v>0.69027817608259256</v>
      </c>
      <c r="AF80" s="7">
        <f t="shared" si="27"/>
        <v>0.95172818956232264</v>
      </c>
      <c r="AG80" s="7">
        <f t="shared" si="28"/>
        <v>8.3000000000000007</v>
      </c>
      <c r="AH80" s="7">
        <f t="shared" si="29"/>
        <v>0.18888888888888894</v>
      </c>
      <c r="AI80" s="7">
        <f t="shared" si="30"/>
        <v>0.8851824817518249</v>
      </c>
      <c r="AJ80" s="20">
        <f t="shared" si="31"/>
        <v>43.941176470588253</v>
      </c>
    </row>
  </sheetData>
  <sheetProtection algorithmName="SHA-512" hashValue="6nd8NHAERKwaJ/xbGhzG3XVaZJPShaC81hqdnxbLmqIVR8BV0mEGydlIcwrDvNmGkmy0QEimROnmHCTy3YAwbg==" saltValue="exErzxyRF2xN8A2IPuJYkA==" spinCount="100000" sheet="1" objects="1" scenarios="1" selectLockedCells="1" selectUnlockedCells="1"/>
  <mergeCells count="12">
    <mergeCell ref="B1:B3"/>
    <mergeCell ref="C1:C3"/>
    <mergeCell ref="D1:H1"/>
    <mergeCell ref="L1:X1"/>
    <mergeCell ref="Y1:AJ1"/>
    <mergeCell ref="D2:D3"/>
    <mergeCell ref="E2:E3"/>
    <mergeCell ref="I2:I3"/>
    <mergeCell ref="K2:K3"/>
    <mergeCell ref="W2:X2"/>
    <mergeCell ref="I1:K1"/>
    <mergeCell ref="J2:J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8"/>
  <sheetViews>
    <sheetView zoomScale="80" zoomScaleNormal="80" workbookViewId="0">
      <pane ySplit="3" topLeftCell="A4" activePane="bottomLeft" state="frozen"/>
      <selection pane="bottomLeft" activeCell="C4" sqref="C4"/>
    </sheetView>
  </sheetViews>
  <sheetFormatPr defaultRowHeight="16.5" x14ac:dyDescent="0.3"/>
  <cols>
    <col min="1" max="2" width="5.125" customWidth="1"/>
    <col min="3" max="3" width="15.625" style="4" customWidth="1"/>
    <col min="5" max="5" width="16.5" customWidth="1"/>
    <col min="6" max="6" width="9" customWidth="1"/>
    <col min="7" max="7" width="9" style="3" customWidth="1"/>
    <col min="8" max="8" width="9" style="3"/>
    <col min="9" max="11" width="9.875" style="3" customWidth="1"/>
    <col min="12" max="35" width="7.125" customWidth="1"/>
  </cols>
  <sheetData>
    <row r="1" spans="2:36" x14ac:dyDescent="0.3">
      <c r="B1" s="51" t="s">
        <v>0</v>
      </c>
      <c r="C1" s="54" t="s">
        <v>267</v>
      </c>
      <c r="D1" s="54" t="s">
        <v>112</v>
      </c>
      <c r="E1" s="54"/>
      <c r="F1" s="54"/>
      <c r="G1" s="54"/>
      <c r="H1" s="54"/>
      <c r="I1" s="54" t="s">
        <v>100</v>
      </c>
      <c r="J1" s="54"/>
      <c r="K1" s="63"/>
      <c r="L1" s="55" t="s">
        <v>113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6" t="s">
        <v>101</v>
      </c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2:36" ht="16.5" customHeight="1" x14ac:dyDescent="0.3">
      <c r="B2" s="52"/>
      <c r="C2" s="54"/>
      <c r="D2" s="54" t="s">
        <v>1</v>
      </c>
      <c r="E2" s="57" t="s">
        <v>137</v>
      </c>
      <c r="F2" s="5" t="s">
        <v>138</v>
      </c>
      <c r="G2" s="13" t="s">
        <v>80</v>
      </c>
      <c r="H2" s="14" t="s">
        <v>142</v>
      </c>
      <c r="I2" s="59" t="s">
        <v>366</v>
      </c>
      <c r="J2" s="54" t="s">
        <v>282</v>
      </c>
      <c r="K2" s="60" t="s">
        <v>143</v>
      </c>
      <c r="L2" s="9" t="s">
        <v>102</v>
      </c>
      <c r="M2" s="5" t="s">
        <v>103</v>
      </c>
      <c r="N2" s="5" t="s">
        <v>104</v>
      </c>
      <c r="O2" s="5" t="s">
        <v>105</v>
      </c>
      <c r="P2" s="5" t="s">
        <v>106</v>
      </c>
      <c r="Q2" s="5" t="s">
        <v>114</v>
      </c>
      <c r="R2" s="5" t="s">
        <v>115</v>
      </c>
      <c r="S2" s="5" t="s">
        <v>116</v>
      </c>
      <c r="T2" s="5" t="s">
        <v>107</v>
      </c>
      <c r="U2" s="5" t="s">
        <v>108</v>
      </c>
      <c r="V2" s="5" t="s">
        <v>117</v>
      </c>
      <c r="W2" s="62" t="s">
        <v>46</v>
      </c>
      <c r="X2" s="55"/>
      <c r="Y2" s="5" t="s">
        <v>102</v>
      </c>
      <c r="Z2" s="5" t="s">
        <v>103</v>
      </c>
      <c r="AA2" s="5" t="s">
        <v>104</v>
      </c>
      <c r="AB2" s="5" t="s">
        <v>105</v>
      </c>
      <c r="AC2" s="5" t="s">
        <v>106</v>
      </c>
      <c r="AD2" s="5" t="s">
        <v>114</v>
      </c>
      <c r="AE2" s="5" t="s">
        <v>115</v>
      </c>
      <c r="AF2" s="5" t="s">
        <v>116</v>
      </c>
      <c r="AG2" s="5" t="s">
        <v>107</v>
      </c>
      <c r="AH2" s="5" t="s">
        <v>108</v>
      </c>
      <c r="AI2" s="5" t="s">
        <v>117</v>
      </c>
      <c r="AJ2" s="5" t="s">
        <v>144</v>
      </c>
    </row>
    <row r="3" spans="2:36" x14ac:dyDescent="0.3">
      <c r="B3" s="53"/>
      <c r="C3" s="54"/>
      <c r="D3" s="54"/>
      <c r="E3" s="58"/>
      <c r="F3" s="5" t="s">
        <v>109</v>
      </c>
      <c r="G3" s="5" t="s">
        <v>109</v>
      </c>
      <c r="H3" s="5" t="s">
        <v>109</v>
      </c>
      <c r="I3" s="54"/>
      <c r="J3" s="54"/>
      <c r="K3" s="61"/>
      <c r="L3" s="9" t="s">
        <v>109</v>
      </c>
      <c r="M3" s="5" t="s">
        <v>109</v>
      </c>
      <c r="N3" s="5" t="s">
        <v>109</v>
      </c>
      <c r="O3" s="5" t="s">
        <v>109</v>
      </c>
      <c r="P3" s="5" t="s">
        <v>110</v>
      </c>
      <c r="Q3" s="5" t="s">
        <v>110</v>
      </c>
      <c r="R3" s="5" t="s">
        <v>110</v>
      </c>
      <c r="S3" s="5" t="s">
        <v>110</v>
      </c>
      <c r="T3" s="5" t="s">
        <v>110</v>
      </c>
      <c r="U3" s="5" t="s">
        <v>110</v>
      </c>
      <c r="V3" s="5" t="s">
        <v>110</v>
      </c>
      <c r="W3" s="5" t="s">
        <v>111</v>
      </c>
      <c r="X3" s="5" t="s">
        <v>118</v>
      </c>
      <c r="Y3" s="5" t="s">
        <v>109</v>
      </c>
      <c r="Z3" s="5" t="s">
        <v>109</v>
      </c>
      <c r="AA3" s="5" t="s">
        <v>109</v>
      </c>
      <c r="AB3" s="5" t="s">
        <v>109</v>
      </c>
      <c r="AC3" s="5" t="s">
        <v>110</v>
      </c>
      <c r="AD3" s="5" t="s">
        <v>110</v>
      </c>
      <c r="AE3" s="5" t="s">
        <v>110</v>
      </c>
      <c r="AF3" s="5" t="s">
        <v>110</v>
      </c>
      <c r="AG3" s="5" t="s">
        <v>110</v>
      </c>
      <c r="AH3" s="5" t="s">
        <v>110</v>
      </c>
      <c r="AI3" s="5" t="s">
        <v>110</v>
      </c>
      <c r="AJ3" s="5" t="s">
        <v>145</v>
      </c>
    </row>
    <row r="4" spans="2:36" x14ac:dyDescent="0.3">
      <c r="B4" s="6">
        <v>1</v>
      </c>
      <c r="C4" s="8" t="s">
        <v>2</v>
      </c>
      <c r="D4" s="6" t="s">
        <v>18</v>
      </c>
      <c r="E4" s="10" t="s">
        <v>119</v>
      </c>
      <c r="F4" s="6">
        <v>80</v>
      </c>
      <c r="G4" s="6" t="s">
        <v>283</v>
      </c>
      <c r="H4" s="6" t="s">
        <v>283</v>
      </c>
      <c r="I4" s="6" t="s">
        <v>365</v>
      </c>
      <c r="J4" s="6" t="s">
        <v>283</v>
      </c>
      <c r="K4" s="28" t="s">
        <v>283</v>
      </c>
      <c r="L4" s="31" t="s">
        <v>283</v>
      </c>
      <c r="M4" s="16" t="s">
        <v>283</v>
      </c>
      <c r="N4" s="16" t="s">
        <v>283</v>
      </c>
      <c r="O4" s="16" t="s">
        <v>283</v>
      </c>
      <c r="P4" s="6" t="s">
        <v>283</v>
      </c>
      <c r="Q4" s="6" t="s">
        <v>283</v>
      </c>
      <c r="R4" s="6" t="s">
        <v>283</v>
      </c>
      <c r="S4" s="6" t="s">
        <v>283</v>
      </c>
      <c r="T4" s="6" t="s">
        <v>283</v>
      </c>
      <c r="U4" s="6" t="s">
        <v>283</v>
      </c>
      <c r="V4" s="6" t="s">
        <v>283</v>
      </c>
      <c r="W4" s="6" t="s">
        <v>283</v>
      </c>
      <c r="X4" s="6" t="s">
        <v>283</v>
      </c>
      <c r="Y4" s="16" t="s">
        <v>283</v>
      </c>
      <c r="Z4" s="16" t="s">
        <v>283</v>
      </c>
      <c r="AA4" s="16" t="s">
        <v>283</v>
      </c>
      <c r="AB4" s="16" t="s">
        <v>283</v>
      </c>
      <c r="AC4" s="6" t="s">
        <v>283</v>
      </c>
      <c r="AD4" s="6" t="s">
        <v>283</v>
      </c>
      <c r="AE4" s="6" t="s">
        <v>283</v>
      </c>
      <c r="AF4" s="6" t="s">
        <v>283</v>
      </c>
      <c r="AG4" s="6" t="s">
        <v>283</v>
      </c>
      <c r="AH4" s="6" t="s">
        <v>283</v>
      </c>
      <c r="AI4" s="6" t="s">
        <v>283</v>
      </c>
      <c r="AJ4" s="21" t="s">
        <v>283</v>
      </c>
    </row>
    <row r="5" spans="2:36" x14ac:dyDescent="0.3">
      <c r="B5" s="6">
        <v>2</v>
      </c>
      <c r="C5" s="8" t="s">
        <v>8</v>
      </c>
      <c r="D5" s="6" t="s">
        <v>130</v>
      </c>
      <c r="E5" s="10" t="s">
        <v>120</v>
      </c>
      <c r="F5" s="6">
        <v>100</v>
      </c>
      <c r="G5" s="6" t="s">
        <v>283</v>
      </c>
      <c r="H5" s="6" t="s">
        <v>283</v>
      </c>
      <c r="I5" s="6" t="s">
        <v>365</v>
      </c>
      <c r="J5" s="6" t="s">
        <v>283</v>
      </c>
      <c r="K5" s="28" t="s">
        <v>283</v>
      </c>
      <c r="L5" s="31" t="s">
        <v>283</v>
      </c>
      <c r="M5" s="16" t="s">
        <v>283</v>
      </c>
      <c r="N5" s="16" t="s">
        <v>283</v>
      </c>
      <c r="O5" s="16" t="s">
        <v>283</v>
      </c>
      <c r="P5" s="6" t="s">
        <v>283</v>
      </c>
      <c r="Q5" s="6" t="s">
        <v>283</v>
      </c>
      <c r="R5" s="6" t="s">
        <v>283</v>
      </c>
      <c r="S5" s="6" t="s">
        <v>283</v>
      </c>
      <c r="T5" s="6" t="s">
        <v>283</v>
      </c>
      <c r="U5" s="6" t="s">
        <v>283</v>
      </c>
      <c r="V5" s="6" t="s">
        <v>283</v>
      </c>
      <c r="W5" s="6" t="s">
        <v>283</v>
      </c>
      <c r="X5" s="6" t="s">
        <v>283</v>
      </c>
      <c r="Y5" s="16" t="s">
        <v>283</v>
      </c>
      <c r="Z5" s="16" t="s">
        <v>283</v>
      </c>
      <c r="AA5" s="16" t="s">
        <v>283</v>
      </c>
      <c r="AB5" s="16" t="s">
        <v>283</v>
      </c>
      <c r="AC5" s="6" t="s">
        <v>283</v>
      </c>
      <c r="AD5" s="6" t="s">
        <v>283</v>
      </c>
      <c r="AE5" s="6" t="s">
        <v>283</v>
      </c>
      <c r="AF5" s="6" t="s">
        <v>283</v>
      </c>
      <c r="AG5" s="6" t="s">
        <v>283</v>
      </c>
      <c r="AH5" s="6" t="s">
        <v>283</v>
      </c>
      <c r="AI5" s="6" t="s">
        <v>283</v>
      </c>
      <c r="AJ5" s="21" t="s">
        <v>283</v>
      </c>
    </row>
    <row r="6" spans="2:36" x14ac:dyDescent="0.3">
      <c r="B6" s="6">
        <v>3</v>
      </c>
      <c r="C6" s="8" t="s">
        <v>11</v>
      </c>
      <c r="D6" s="6" t="s">
        <v>131</v>
      </c>
      <c r="E6" s="10" t="s">
        <v>121</v>
      </c>
      <c r="F6" s="6">
        <v>100</v>
      </c>
      <c r="G6" s="6" t="s">
        <v>283</v>
      </c>
      <c r="H6" s="6" t="s">
        <v>283</v>
      </c>
      <c r="I6" s="6" t="s">
        <v>133</v>
      </c>
      <c r="J6" s="6" t="s">
        <v>283</v>
      </c>
      <c r="K6" s="28" t="s">
        <v>283</v>
      </c>
      <c r="L6" s="31" t="s">
        <v>283</v>
      </c>
      <c r="M6" s="16" t="s">
        <v>283</v>
      </c>
      <c r="N6" s="16" t="s">
        <v>283</v>
      </c>
      <c r="O6" s="16" t="s">
        <v>283</v>
      </c>
      <c r="P6" s="6" t="s">
        <v>283</v>
      </c>
      <c r="Q6" s="6" t="s">
        <v>283</v>
      </c>
      <c r="R6" s="6" t="s">
        <v>283</v>
      </c>
      <c r="S6" s="6" t="s">
        <v>283</v>
      </c>
      <c r="T6" s="6" t="s">
        <v>283</v>
      </c>
      <c r="U6" s="6" t="s">
        <v>283</v>
      </c>
      <c r="V6" s="6" t="s">
        <v>283</v>
      </c>
      <c r="W6" s="6" t="s">
        <v>283</v>
      </c>
      <c r="X6" s="6" t="s">
        <v>283</v>
      </c>
      <c r="Y6" s="16" t="s">
        <v>283</v>
      </c>
      <c r="Z6" s="16" t="s">
        <v>283</v>
      </c>
      <c r="AA6" s="16" t="s">
        <v>283</v>
      </c>
      <c r="AB6" s="16" t="s">
        <v>283</v>
      </c>
      <c r="AC6" s="6" t="s">
        <v>283</v>
      </c>
      <c r="AD6" s="6" t="s">
        <v>283</v>
      </c>
      <c r="AE6" s="6" t="s">
        <v>283</v>
      </c>
      <c r="AF6" s="6" t="s">
        <v>283</v>
      </c>
      <c r="AG6" s="6" t="s">
        <v>283</v>
      </c>
      <c r="AH6" s="6" t="s">
        <v>283</v>
      </c>
      <c r="AI6" s="6" t="s">
        <v>283</v>
      </c>
      <c r="AJ6" s="21" t="s">
        <v>283</v>
      </c>
    </row>
    <row r="7" spans="2:36" x14ac:dyDescent="0.3">
      <c r="B7" s="6">
        <v>4</v>
      </c>
      <c r="C7" s="8" t="s">
        <v>14</v>
      </c>
      <c r="D7" s="6" t="s">
        <v>131</v>
      </c>
      <c r="E7" s="10" t="s">
        <v>122</v>
      </c>
      <c r="F7" s="6">
        <v>102</v>
      </c>
      <c r="G7" s="6" t="s">
        <v>283</v>
      </c>
      <c r="H7" s="6" t="s">
        <v>283</v>
      </c>
      <c r="I7" s="6" t="s">
        <v>365</v>
      </c>
      <c r="J7" s="6" t="s">
        <v>283</v>
      </c>
      <c r="K7" s="28" t="s">
        <v>283</v>
      </c>
      <c r="L7" s="31" t="s">
        <v>283</v>
      </c>
      <c r="M7" s="16" t="s">
        <v>283</v>
      </c>
      <c r="N7" s="16" t="s">
        <v>283</v>
      </c>
      <c r="O7" s="16" t="s">
        <v>283</v>
      </c>
      <c r="P7" s="6" t="s">
        <v>283</v>
      </c>
      <c r="Q7" s="6" t="s">
        <v>283</v>
      </c>
      <c r="R7" s="6" t="s">
        <v>283</v>
      </c>
      <c r="S7" s="6" t="s">
        <v>283</v>
      </c>
      <c r="T7" s="6" t="s">
        <v>283</v>
      </c>
      <c r="U7" s="6" t="s">
        <v>283</v>
      </c>
      <c r="V7" s="6" t="s">
        <v>283</v>
      </c>
      <c r="W7" s="6" t="s">
        <v>283</v>
      </c>
      <c r="X7" s="6" t="s">
        <v>283</v>
      </c>
      <c r="Y7" s="16" t="s">
        <v>283</v>
      </c>
      <c r="Z7" s="16" t="s">
        <v>283</v>
      </c>
      <c r="AA7" s="16" t="s">
        <v>283</v>
      </c>
      <c r="AB7" s="16" t="s">
        <v>283</v>
      </c>
      <c r="AC7" s="6" t="s">
        <v>283</v>
      </c>
      <c r="AD7" s="6" t="s">
        <v>283</v>
      </c>
      <c r="AE7" s="6" t="s">
        <v>283</v>
      </c>
      <c r="AF7" s="6" t="s">
        <v>283</v>
      </c>
      <c r="AG7" s="6" t="s">
        <v>283</v>
      </c>
      <c r="AH7" s="6" t="s">
        <v>283</v>
      </c>
      <c r="AI7" s="6" t="s">
        <v>283</v>
      </c>
      <c r="AJ7" s="21" t="s">
        <v>283</v>
      </c>
    </row>
    <row r="8" spans="2:36" x14ac:dyDescent="0.3">
      <c r="B8" s="6"/>
      <c r="C8" s="8"/>
      <c r="D8" s="6"/>
      <c r="E8" s="10"/>
      <c r="F8" s="6">
        <v>102</v>
      </c>
      <c r="G8" s="6" t="s">
        <v>283</v>
      </c>
      <c r="H8" s="6" t="s">
        <v>283</v>
      </c>
      <c r="I8" s="6" t="s">
        <v>283</v>
      </c>
      <c r="J8" s="6" t="s">
        <v>135</v>
      </c>
      <c r="K8" s="28" t="s">
        <v>283</v>
      </c>
      <c r="L8" s="31" t="s">
        <v>283</v>
      </c>
      <c r="M8" s="16" t="s">
        <v>283</v>
      </c>
      <c r="N8" s="16" t="s">
        <v>283</v>
      </c>
      <c r="O8" s="16" t="s">
        <v>283</v>
      </c>
      <c r="P8" s="6" t="s">
        <v>283</v>
      </c>
      <c r="Q8" s="6" t="s">
        <v>283</v>
      </c>
      <c r="R8" s="6" t="s">
        <v>283</v>
      </c>
      <c r="S8" s="6" t="s">
        <v>283</v>
      </c>
      <c r="T8" s="6" t="s">
        <v>283</v>
      </c>
      <c r="U8" s="6" t="s">
        <v>283</v>
      </c>
      <c r="V8" s="6" t="s">
        <v>283</v>
      </c>
      <c r="W8" s="6" t="s">
        <v>283</v>
      </c>
      <c r="X8" s="6" t="s">
        <v>283</v>
      </c>
      <c r="Y8" s="16" t="s">
        <v>283</v>
      </c>
      <c r="Z8" s="16" t="s">
        <v>283</v>
      </c>
      <c r="AA8" s="16" t="s">
        <v>283</v>
      </c>
      <c r="AB8" s="16" t="s">
        <v>283</v>
      </c>
      <c r="AC8" s="6" t="s">
        <v>283</v>
      </c>
      <c r="AD8" s="6" t="s">
        <v>283</v>
      </c>
      <c r="AE8" s="6" t="s">
        <v>283</v>
      </c>
      <c r="AF8" s="6" t="s">
        <v>283</v>
      </c>
      <c r="AG8" s="6" t="s">
        <v>283</v>
      </c>
      <c r="AH8" s="6" t="s">
        <v>283</v>
      </c>
      <c r="AI8" s="6" t="s">
        <v>283</v>
      </c>
      <c r="AJ8" s="21" t="s">
        <v>283</v>
      </c>
    </row>
    <row r="9" spans="2:36" x14ac:dyDescent="0.3">
      <c r="B9" s="6">
        <v>5</v>
      </c>
      <c r="C9" s="8" t="s">
        <v>17</v>
      </c>
      <c r="D9" s="6" t="s">
        <v>18</v>
      </c>
      <c r="E9" s="10" t="s">
        <v>123</v>
      </c>
      <c r="F9" s="6">
        <v>113</v>
      </c>
      <c r="G9" s="15">
        <v>13</v>
      </c>
      <c r="H9" s="6">
        <f>19+26+6+2+27+20</f>
        <v>100</v>
      </c>
      <c r="I9" s="6"/>
      <c r="J9" s="6" t="s">
        <v>283</v>
      </c>
      <c r="K9" s="28">
        <v>0.9</v>
      </c>
      <c r="L9" s="11"/>
      <c r="M9" s="12"/>
      <c r="N9" s="12"/>
      <c r="O9" s="12"/>
      <c r="P9" s="7">
        <v>92.3</v>
      </c>
      <c r="Q9" s="7">
        <v>77</v>
      </c>
      <c r="R9" s="7"/>
      <c r="S9" s="7"/>
      <c r="T9" s="7"/>
      <c r="U9" s="7"/>
      <c r="V9" s="7"/>
      <c r="W9" s="7">
        <v>0.9</v>
      </c>
      <c r="X9" s="7" t="s">
        <v>148</v>
      </c>
      <c r="Y9" s="17">
        <f>$G9*$P9/100</f>
        <v>11.998999999999999</v>
      </c>
      <c r="Z9" s="17">
        <f>$H9-$AB9</f>
        <v>23</v>
      </c>
      <c r="AA9" s="17">
        <f>$G9-$Y9</f>
        <v>1.0010000000000012</v>
      </c>
      <c r="AB9" s="17">
        <f>$H9*$Q9/100</f>
        <v>77</v>
      </c>
      <c r="AC9" s="7">
        <f>$Y9/($Y9+$AA9)</f>
        <v>0.92299999999999993</v>
      </c>
      <c r="AD9" s="7">
        <f>$AB9/($Z9+$AB9)</f>
        <v>0.77</v>
      </c>
      <c r="AE9" s="7">
        <f>$Y9/($Y9+$Z9)</f>
        <v>0.3428383668104803</v>
      </c>
      <c r="AF9" s="7">
        <f>$AB9/($AA9+$AB9)</f>
        <v>0.98716683119447179</v>
      </c>
      <c r="AG9" s="7">
        <f>$AC9/(1-$AD9)</f>
        <v>4.0130434782608697</v>
      </c>
      <c r="AH9" s="7">
        <f>(1-$AC9)/$AD9</f>
        <v>0.10000000000000009</v>
      </c>
      <c r="AI9" s="7">
        <f>($Y9+$AB9)/($Y9+$Z9+$AA9+$AB9)</f>
        <v>0.78760176991150443</v>
      </c>
      <c r="AJ9" s="20">
        <f>($Y9*$AB9)/($Z9*$AA9)</f>
        <v>40.130434782608638</v>
      </c>
    </row>
    <row r="10" spans="2:36" x14ac:dyDescent="0.3">
      <c r="B10" s="6">
        <v>6</v>
      </c>
      <c r="C10" s="8" t="s">
        <v>20</v>
      </c>
      <c r="D10" s="6" t="s">
        <v>131</v>
      </c>
      <c r="E10" s="10" t="s">
        <v>124</v>
      </c>
      <c r="F10" s="6">
        <v>233</v>
      </c>
      <c r="G10" s="6" t="s">
        <v>283</v>
      </c>
      <c r="H10" s="6" t="s">
        <v>283</v>
      </c>
      <c r="I10" s="6" t="s">
        <v>365</v>
      </c>
      <c r="J10" s="6" t="s">
        <v>283</v>
      </c>
      <c r="K10" s="28" t="s">
        <v>283</v>
      </c>
      <c r="L10" s="31" t="s">
        <v>283</v>
      </c>
      <c r="M10" s="16" t="s">
        <v>283</v>
      </c>
      <c r="N10" s="16" t="s">
        <v>283</v>
      </c>
      <c r="O10" s="16" t="s">
        <v>283</v>
      </c>
      <c r="P10" s="6" t="s">
        <v>283</v>
      </c>
      <c r="Q10" s="6" t="s">
        <v>283</v>
      </c>
      <c r="R10" s="6" t="s">
        <v>283</v>
      </c>
      <c r="S10" s="6" t="s">
        <v>283</v>
      </c>
      <c r="T10" s="6" t="s">
        <v>283</v>
      </c>
      <c r="U10" s="6" t="s">
        <v>283</v>
      </c>
      <c r="V10" s="6" t="s">
        <v>283</v>
      </c>
      <c r="W10" s="6" t="s">
        <v>283</v>
      </c>
      <c r="X10" s="6" t="s">
        <v>283</v>
      </c>
      <c r="Y10" s="16" t="s">
        <v>283</v>
      </c>
      <c r="Z10" s="16" t="s">
        <v>283</v>
      </c>
      <c r="AA10" s="16" t="s">
        <v>283</v>
      </c>
      <c r="AB10" s="16" t="s">
        <v>283</v>
      </c>
      <c r="AC10" s="6" t="s">
        <v>283</v>
      </c>
      <c r="AD10" s="6" t="s">
        <v>283</v>
      </c>
      <c r="AE10" s="6" t="s">
        <v>283</v>
      </c>
      <c r="AF10" s="6" t="s">
        <v>283</v>
      </c>
      <c r="AG10" s="6" t="s">
        <v>283</v>
      </c>
      <c r="AH10" s="6" t="s">
        <v>283</v>
      </c>
      <c r="AI10" s="6" t="s">
        <v>283</v>
      </c>
      <c r="AJ10" s="21" t="s">
        <v>283</v>
      </c>
    </row>
    <row r="11" spans="2:36" x14ac:dyDescent="0.3">
      <c r="B11" s="6"/>
      <c r="C11" s="8"/>
      <c r="D11" s="6"/>
      <c r="E11" s="10"/>
      <c r="F11" s="6">
        <v>233</v>
      </c>
      <c r="G11" s="6" t="s">
        <v>283</v>
      </c>
      <c r="H11" s="6" t="s">
        <v>283</v>
      </c>
      <c r="I11" s="6" t="s">
        <v>283</v>
      </c>
      <c r="J11" s="6" t="s">
        <v>136</v>
      </c>
      <c r="K11" s="28" t="s">
        <v>283</v>
      </c>
      <c r="L11" s="31" t="s">
        <v>283</v>
      </c>
      <c r="M11" s="16" t="s">
        <v>283</v>
      </c>
      <c r="N11" s="16" t="s">
        <v>283</v>
      </c>
      <c r="O11" s="16" t="s">
        <v>283</v>
      </c>
      <c r="P11" s="6" t="s">
        <v>283</v>
      </c>
      <c r="Q11" s="6" t="s">
        <v>283</v>
      </c>
      <c r="R11" s="6" t="s">
        <v>283</v>
      </c>
      <c r="S11" s="6" t="s">
        <v>283</v>
      </c>
      <c r="T11" s="6" t="s">
        <v>283</v>
      </c>
      <c r="U11" s="6" t="s">
        <v>283</v>
      </c>
      <c r="V11" s="6" t="s">
        <v>283</v>
      </c>
      <c r="W11" s="6" t="s">
        <v>283</v>
      </c>
      <c r="X11" s="6" t="s">
        <v>283</v>
      </c>
      <c r="Y11" s="16" t="s">
        <v>283</v>
      </c>
      <c r="Z11" s="16" t="s">
        <v>283</v>
      </c>
      <c r="AA11" s="16" t="s">
        <v>283</v>
      </c>
      <c r="AB11" s="16" t="s">
        <v>283</v>
      </c>
      <c r="AC11" s="6" t="s">
        <v>283</v>
      </c>
      <c r="AD11" s="6" t="s">
        <v>283</v>
      </c>
      <c r="AE11" s="6" t="s">
        <v>283</v>
      </c>
      <c r="AF11" s="6" t="s">
        <v>283</v>
      </c>
      <c r="AG11" s="6" t="s">
        <v>283</v>
      </c>
      <c r="AH11" s="6" t="s">
        <v>283</v>
      </c>
      <c r="AI11" s="6" t="s">
        <v>283</v>
      </c>
      <c r="AJ11" s="21" t="s">
        <v>283</v>
      </c>
    </row>
    <row r="12" spans="2:36" x14ac:dyDescent="0.3">
      <c r="B12" s="6">
        <v>7</v>
      </c>
      <c r="C12" s="8" t="s">
        <v>22</v>
      </c>
      <c r="D12" s="6" t="s">
        <v>130</v>
      </c>
      <c r="E12" s="10" t="s">
        <v>120</v>
      </c>
      <c r="F12" s="6">
        <v>141</v>
      </c>
      <c r="G12" s="15">
        <v>24</v>
      </c>
      <c r="H12" s="6">
        <f>6+58+27+26</f>
        <v>117</v>
      </c>
      <c r="I12" s="6" t="s">
        <v>365</v>
      </c>
      <c r="J12" s="6" t="s">
        <v>283</v>
      </c>
      <c r="K12" s="28">
        <v>2.99</v>
      </c>
      <c r="L12" s="11"/>
      <c r="M12" s="12"/>
      <c r="N12" s="12"/>
      <c r="O12" s="12"/>
      <c r="P12" s="7">
        <v>87</v>
      </c>
      <c r="Q12" s="7">
        <v>81.3</v>
      </c>
      <c r="R12" s="7"/>
      <c r="S12" s="7"/>
      <c r="T12" s="7"/>
      <c r="U12" s="7"/>
      <c r="V12" s="7"/>
      <c r="W12" s="7">
        <v>0.85</v>
      </c>
      <c r="X12" s="7"/>
      <c r="Y12" s="17">
        <f>$G12*$P12/100</f>
        <v>20.88</v>
      </c>
      <c r="Z12" s="17">
        <f>$H12-$AB12</f>
        <v>21.878999999999991</v>
      </c>
      <c r="AA12" s="17">
        <f>$G12-$Y12</f>
        <v>3.120000000000001</v>
      </c>
      <c r="AB12" s="17">
        <f>$H12*$Q12/100</f>
        <v>95.121000000000009</v>
      </c>
      <c r="AC12" s="7">
        <f>$Y12/($Y12+$AA12)</f>
        <v>0.87</v>
      </c>
      <c r="AD12" s="7">
        <f>$AB12/($Z12+$AB12)</f>
        <v>0.81300000000000006</v>
      </c>
      <c r="AE12" s="7">
        <f>$Y12/($Y12+$Z12)</f>
        <v>0.48831824878972863</v>
      </c>
      <c r="AF12" s="7">
        <f>$AB12/($AA12+$AB12)</f>
        <v>0.96824136562127827</v>
      </c>
      <c r="AG12" s="7">
        <f>$AC12/(1-$AD12)</f>
        <v>4.6524064171123012</v>
      </c>
      <c r="AH12" s="7">
        <f>(1-$AC12)/$AD12</f>
        <v>0.15990159901599016</v>
      </c>
      <c r="AI12" s="7">
        <f>($Y12+$AB12)/($Y12+$Z12+$AA12+$AB12)</f>
        <v>0.82270212765957451</v>
      </c>
      <c r="AJ12" s="20">
        <f>($Y12*$AB12)/($Z12*$AA12)</f>
        <v>29.095433977786922</v>
      </c>
    </row>
    <row r="13" spans="2:36" x14ac:dyDescent="0.3">
      <c r="B13" s="6"/>
      <c r="C13" s="8"/>
      <c r="D13" s="6"/>
      <c r="E13" s="10"/>
      <c r="F13" s="6">
        <v>141</v>
      </c>
      <c r="G13" s="15">
        <v>77</v>
      </c>
      <c r="H13" s="6">
        <v>64</v>
      </c>
      <c r="I13" s="6" t="s">
        <v>283</v>
      </c>
      <c r="J13" s="6" t="s">
        <v>29</v>
      </c>
      <c r="K13" s="28" t="s">
        <v>397</v>
      </c>
      <c r="L13" s="11"/>
      <c r="M13" s="12"/>
      <c r="N13" s="12"/>
      <c r="O13" s="12"/>
      <c r="P13" s="7">
        <v>87</v>
      </c>
      <c r="Q13" s="7">
        <v>87.5</v>
      </c>
      <c r="R13" s="7"/>
      <c r="S13" s="7"/>
      <c r="T13" s="7"/>
      <c r="U13" s="7"/>
      <c r="V13" s="7"/>
      <c r="W13" s="7"/>
      <c r="X13" s="7"/>
      <c r="Y13" s="17">
        <f>$G13*$P13/100</f>
        <v>66.989999999999995</v>
      </c>
      <c r="Z13" s="17">
        <f>$H13-$AB13</f>
        <v>8</v>
      </c>
      <c r="AA13" s="17">
        <f>$G13-$Y13</f>
        <v>10.010000000000005</v>
      </c>
      <c r="AB13" s="17">
        <f>$H13*$Q13/100</f>
        <v>56</v>
      </c>
      <c r="AC13" s="7">
        <f>$Y13/($Y13+$AA13)</f>
        <v>0.86999999999999988</v>
      </c>
      <c r="AD13" s="7">
        <f>$AB13/($Z13+$AB13)</f>
        <v>0.875</v>
      </c>
      <c r="AE13" s="7">
        <f>$Y13/($Y13+$Z13)</f>
        <v>0.89331910921456192</v>
      </c>
      <c r="AF13" s="7">
        <f>$AB13/($AA13+$AB13)</f>
        <v>0.84835630965005293</v>
      </c>
      <c r="AG13" s="7">
        <f>$AC13/(1-$AD13)</f>
        <v>6.9599999999999991</v>
      </c>
      <c r="AH13" s="7">
        <f>(1-$AC13)/$AD13</f>
        <v>0.14857142857142872</v>
      </c>
      <c r="AI13" s="7">
        <f>($Y13+$AB13)/($Y13+$Z13+$AA13+$AB13)</f>
        <v>0.87226950354609922</v>
      </c>
      <c r="AJ13" s="20">
        <f>($Y13*$AB13)/($Z13*$AA13)</f>
        <v>46.846153846153818</v>
      </c>
    </row>
    <row r="14" spans="2:36" x14ac:dyDescent="0.3">
      <c r="B14" s="6"/>
      <c r="C14" s="8"/>
      <c r="D14" s="6"/>
      <c r="E14" s="10"/>
      <c r="F14" s="6">
        <v>141</v>
      </c>
      <c r="G14" s="15">
        <v>77</v>
      </c>
      <c r="H14" s="6">
        <v>64</v>
      </c>
      <c r="I14" s="6" t="s">
        <v>283</v>
      </c>
      <c r="J14" s="6" t="s">
        <v>227</v>
      </c>
      <c r="K14" s="28" t="s">
        <v>398</v>
      </c>
      <c r="L14" s="11"/>
      <c r="M14" s="12"/>
      <c r="N14" s="12"/>
      <c r="O14" s="12"/>
      <c r="P14" s="7">
        <v>87</v>
      </c>
      <c r="Q14" s="7">
        <v>87.5</v>
      </c>
      <c r="R14" s="7"/>
      <c r="S14" s="7"/>
      <c r="T14" s="7"/>
      <c r="U14" s="7"/>
      <c r="V14" s="7"/>
      <c r="W14" s="7"/>
      <c r="X14" s="7"/>
      <c r="Y14" s="17">
        <f>$G14*$P14/100</f>
        <v>66.989999999999995</v>
      </c>
      <c r="Z14" s="17">
        <f>$H14-$AB14</f>
        <v>8</v>
      </c>
      <c r="AA14" s="17">
        <f>$G14-$Y14</f>
        <v>10.010000000000005</v>
      </c>
      <c r="AB14" s="17">
        <f>$H14*$Q14/100</f>
        <v>56</v>
      </c>
      <c r="AC14" s="7">
        <f>$Y14/($Y14+$AA14)</f>
        <v>0.86999999999999988</v>
      </c>
      <c r="AD14" s="7">
        <f>$AB14/($Z14+$AB14)</f>
        <v>0.875</v>
      </c>
      <c r="AE14" s="7">
        <f>$Y14/($Y14+$Z14)</f>
        <v>0.89331910921456192</v>
      </c>
      <c r="AF14" s="7">
        <f>$AB14/($AA14+$AB14)</f>
        <v>0.84835630965005293</v>
      </c>
      <c r="AG14" s="7">
        <f>$AC14/(1-$AD14)</f>
        <v>6.9599999999999991</v>
      </c>
      <c r="AH14" s="7">
        <f>(1-$AC14)/$AD14</f>
        <v>0.14857142857142872</v>
      </c>
      <c r="AI14" s="7">
        <f>($Y14+$AB14)/($Y14+$Z14+$AA14+$AB14)</f>
        <v>0.87226950354609922</v>
      </c>
      <c r="AJ14" s="20">
        <f>($Y14*$AB14)/($Z14*$AA14)</f>
        <v>46.846153846153818</v>
      </c>
    </row>
    <row r="15" spans="2:36" x14ac:dyDescent="0.3">
      <c r="B15" s="6">
        <v>8</v>
      </c>
      <c r="C15" s="8" t="s">
        <v>25</v>
      </c>
      <c r="D15" s="6" t="s">
        <v>131</v>
      </c>
      <c r="E15" s="10" t="s">
        <v>124</v>
      </c>
      <c r="F15" s="6">
        <v>94</v>
      </c>
      <c r="G15" s="6" t="s">
        <v>283</v>
      </c>
      <c r="H15" s="6" t="s">
        <v>283</v>
      </c>
      <c r="I15" s="6" t="s">
        <v>365</v>
      </c>
      <c r="J15" s="6" t="s">
        <v>283</v>
      </c>
      <c r="K15" s="28" t="s">
        <v>283</v>
      </c>
      <c r="L15" s="31" t="s">
        <v>283</v>
      </c>
      <c r="M15" s="16" t="s">
        <v>283</v>
      </c>
      <c r="N15" s="16" t="s">
        <v>283</v>
      </c>
      <c r="O15" s="16" t="s">
        <v>283</v>
      </c>
      <c r="P15" s="6" t="s">
        <v>283</v>
      </c>
      <c r="Q15" s="6" t="s">
        <v>283</v>
      </c>
      <c r="R15" s="6" t="s">
        <v>283</v>
      </c>
      <c r="S15" s="6" t="s">
        <v>283</v>
      </c>
      <c r="T15" s="6" t="s">
        <v>283</v>
      </c>
      <c r="U15" s="6" t="s">
        <v>283</v>
      </c>
      <c r="V15" s="6" t="s">
        <v>283</v>
      </c>
      <c r="W15" s="6" t="s">
        <v>283</v>
      </c>
      <c r="X15" s="6" t="s">
        <v>283</v>
      </c>
      <c r="Y15" s="16" t="s">
        <v>283</v>
      </c>
      <c r="Z15" s="16" t="s">
        <v>283</v>
      </c>
      <c r="AA15" s="16" t="s">
        <v>283</v>
      </c>
      <c r="AB15" s="16" t="s">
        <v>283</v>
      </c>
      <c r="AC15" s="6" t="s">
        <v>283</v>
      </c>
      <c r="AD15" s="6" t="s">
        <v>283</v>
      </c>
      <c r="AE15" s="6" t="s">
        <v>283</v>
      </c>
      <c r="AF15" s="6" t="s">
        <v>283</v>
      </c>
      <c r="AG15" s="6" t="s">
        <v>283</v>
      </c>
      <c r="AH15" s="6" t="s">
        <v>283</v>
      </c>
      <c r="AI15" s="6" t="s">
        <v>283</v>
      </c>
      <c r="AJ15" s="21" t="s">
        <v>283</v>
      </c>
    </row>
    <row r="16" spans="2:36" x14ac:dyDescent="0.3">
      <c r="B16" s="6"/>
      <c r="C16" s="8"/>
      <c r="D16" s="6"/>
      <c r="E16" s="10"/>
      <c r="F16" s="6">
        <v>94</v>
      </c>
      <c r="G16" s="6" t="s">
        <v>283</v>
      </c>
      <c r="H16" s="6" t="s">
        <v>283</v>
      </c>
      <c r="I16" s="6" t="s">
        <v>283</v>
      </c>
      <c r="J16" s="6" t="s">
        <v>9</v>
      </c>
      <c r="K16" s="28" t="s">
        <v>283</v>
      </c>
      <c r="L16" s="31" t="s">
        <v>283</v>
      </c>
      <c r="M16" s="16" t="s">
        <v>283</v>
      </c>
      <c r="N16" s="16" t="s">
        <v>283</v>
      </c>
      <c r="O16" s="16" t="s">
        <v>283</v>
      </c>
      <c r="P16" s="6" t="s">
        <v>283</v>
      </c>
      <c r="Q16" s="6" t="s">
        <v>283</v>
      </c>
      <c r="R16" s="6" t="s">
        <v>283</v>
      </c>
      <c r="S16" s="6" t="s">
        <v>283</v>
      </c>
      <c r="T16" s="6" t="s">
        <v>283</v>
      </c>
      <c r="U16" s="6" t="s">
        <v>283</v>
      </c>
      <c r="V16" s="6" t="s">
        <v>283</v>
      </c>
      <c r="W16" s="6" t="s">
        <v>283</v>
      </c>
      <c r="X16" s="6" t="s">
        <v>283</v>
      </c>
      <c r="Y16" s="16" t="s">
        <v>283</v>
      </c>
      <c r="Z16" s="16" t="s">
        <v>283</v>
      </c>
      <c r="AA16" s="16" t="s">
        <v>283</v>
      </c>
      <c r="AB16" s="16" t="s">
        <v>283</v>
      </c>
      <c r="AC16" s="6" t="s">
        <v>283</v>
      </c>
      <c r="AD16" s="6" t="s">
        <v>283</v>
      </c>
      <c r="AE16" s="6" t="s">
        <v>283</v>
      </c>
      <c r="AF16" s="6" t="s">
        <v>283</v>
      </c>
      <c r="AG16" s="6" t="s">
        <v>283</v>
      </c>
      <c r="AH16" s="6" t="s">
        <v>283</v>
      </c>
      <c r="AI16" s="6" t="s">
        <v>283</v>
      </c>
      <c r="AJ16" s="21" t="s">
        <v>283</v>
      </c>
    </row>
    <row r="17" spans="2:36" x14ac:dyDescent="0.3">
      <c r="B17" s="6">
        <v>9</v>
      </c>
      <c r="C17" s="8" t="s">
        <v>28</v>
      </c>
      <c r="D17" s="6" t="s">
        <v>131</v>
      </c>
      <c r="E17" s="10" t="s">
        <v>189</v>
      </c>
      <c r="F17" s="6">
        <v>77</v>
      </c>
      <c r="G17" s="15">
        <v>18</v>
      </c>
      <c r="H17" s="6">
        <f>27+15+9+8</f>
        <v>59</v>
      </c>
      <c r="I17" s="6" t="s">
        <v>365</v>
      </c>
      <c r="J17" s="6" t="s">
        <v>283</v>
      </c>
      <c r="K17" s="28">
        <v>1.06</v>
      </c>
      <c r="L17" s="11"/>
      <c r="M17" s="12"/>
      <c r="N17" s="12"/>
      <c r="O17" s="12"/>
      <c r="P17" s="7">
        <v>77.8</v>
      </c>
      <c r="Q17" s="7">
        <v>62.7</v>
      </c>
      <c r="R17" s="7"/>
      <c r="S17" s="7"/>
      <c r="T17" s="7"/>
      <c r="U17" s="7"/>
      <c r="V17" s="7"/>
      <c r="W17" s="7"/>
      <c r="X17" s="7"/>
      <c r="Y17" s="17">
        <f>$G17*$P17/100</f>
        <v>14.003999999999998</v>
      </c>
      <c r="Z17" s="17">
        <f>$H17-$AB17</f>
        <v>22.006999999999998</v>
      </c>
      <c r="AA17" s="17">
        <f>$G17-$Y17</f>
        <v>3.9960000000000022</v>
      </c>
      <c r="AB17" s="17">
        <f>$H17*$Q17/100</f>
        <v>36.993000000000002</v>
      </c>
      <c r="AC17" s="7">
        <f>$Y17/($Y17+$AA17)</f>
        <v>0.77799999999999991</v>
      </c>
      <c r="AD17" s="7">
        <f>$AB17/($Z17+$AB17)</f>
        <v>0.627</v>
      </c>
      <c r="AE17" s="7">
        <f>$Y17/($Y17+$Z17)</f>
        <v>0.38888117519646775</v>
      </c>
      <c r="AF17" s="7">
        <f>$AB17/($AA17+$AB17)</f>
        <v>0.90251042962746097</v>
      </c>
      <c r="AG17" s="7">
        <f>$AC17/(1-$AD17)</f>
        <v>2.0857908847184983</v>
      </c>
      <c r="AH17" s="7">
        <f>(1-$AC17)/$AD17</f>
        <v>0.35406698564593314</v>
      </c>
      <c r="AI17" s="7">
        <f>($Y17+$AB17)/($Y17+$Z17+$AA17+$AB17)</f>
        <v>0.66229870129870128</v>
      </c>
      <c r="AJ17" s="20">
        <f>($Y17*$AB17)/($Z17*$AA17)</f>
        <v>5.8909499311644051</v>
      </c>
    </row>
    <row r="18" spans="2:36" x14ac:dyDescent="0.3">
      <c r="B18" s="6"/>
      <c r="C18" s="8"/>
      <c r="D18" s="6"/>
      <c r="E18" s="10"/>
      <c r="F18" s="6">
        <v>77</v>
      </c>
      <c r="G18" s="15">
        <v>18</v>
      </c>
      <c r="H18" s="6">
        <f>27+15+9+8</f>
        <v>59</v>
      </c>
      <c r="I18" s="6" t="s">
        <v>283</v>
      </c>
      <c r="J18" s="6" t="s">
        <v>29</v>
      </c>
      <c r="K18" s="28" t="s">
        <v>399</v>
      </c>
      <c r="L18" s="11"/>
      <c r="M18" s="12"/>
      <c r="N18" s="12"/>
      <c r="O18" s="12"/>
      <c r="P18" s="7">
        <v>77.8</v>
      </c>
      <c r="Q18" s="7">
        <v>84.7</v>
      </c>
      <c r="R18" s="7"/>
      <c r="S18" s="7"/>
      <c r="T18" s="7"/>
      <c r="U18" s="7"/>
      <c r="V18" s="7"/>
      <c r="W18" s="7"/>
      <c r="X18" s="7"/>
      <c r="Y18" s="17">
        <f>$G18*$P18/100</f>
        <v>14.003999999999998</v>
      </c>
      <c r="Z18" s="17">
        <f>$H18-$AB18</f>
        <v>9.027000000000001</v>
      </c>
      <c r="AA18" s="17">
        <f>$G18-$Y18</f>
        <v>3.9960000000000022</v>
      </c>
      <c r="AB18" s="17">
        <f>$H18*$Q18/100</f>
        <v>49.972999999999999</v>
      </c>
      <c r="AC18" s="7">
        <f>$Y18/($Y18+$AA18)</f>
        <v>0.77799999999999991</v>
      </c>
      <c r="AD18" s="7">
        <f>$AB18/($Z18+$AB18)</f>
        <v>0.84699999999999998</v>
      </c>
      <c r="AE18" s="7">
        <f>$Y18/($Y18+$Z18)</f>
        <v>0.60805001953888227</v>
      </c>
      <c r="AF18" s="7">
        <f>$AB18/($AA18+$AB18)</f>
        <v>0.92595749411699302</v>
      </c>
      <c r="AG18" s="7">
        <f>$AC18/(1-$AD18)</f>
        <v>5.0849673202614367</v>
      </c>
      <c r="AH18" s="7">
        <f>(1-$AC18)/$AD18</f>
        <v>0.26210153482880766</v>
      </c>
      <c r="AI18" s="7">
        <f>($Y18+$AB18)/($Y18+$Z18+$AA18+$AB18)</f>
        <v>0.83087012987012987</v>
      </c>
      <c r="AJ18" s="20">
        <f>($Y18*$AB18)/($Z18*$AA18)</f>
        <v>19.400753694871323</v>
      </c>
    </row>
    <row r="19" spans="2:36" x14ac:dyDescent="0.3">
      <c r="B19" s="6">
        <v>10</v>
      </c>
      <c r="C19" s="8" t="s">
        <v>31</v>
      </c>
      <c r="D19" s="6" t="s">
        <v>132</v>
      </c>
      <c r="E19" s="10" t="s">
        <v>210</v>
      </c>
      <c r="F19" s="6">
        <v>312</v>
      </c>
      <c r="G19" s="6" t="s">
        <v>283</v>
      </c>
      <c r="H19" s="6" t="s">
        <v>283</v>
      </c>
      <c r="I19" s="6" t="s">
        <v>365</v>
      </c>
      <c r="J19" s="6" t="s">
        <v>283</v>
      </c>
      <c r="K19" s="28" t="s">
        <v>283</v>
      </c>
      <c r="L19" s="31" t="s">
        <v>283</v>
      </c>
      <c r="M19" s="16" t="s">
        <v>283</v>
      </c>
      <c r="N19" s="16" t="s">
        <v>283</v>
      </c>
      <c r="O19" s="16" t="s">
        <v>283</v>
      </c>
      <c r="P19" s="6" t="s">
        <v>283</v>
      </c>
      <c r="Q19" s="6" t="s">
        <v>283</v>
      </c>
      <c r="R19" s="6" t="s">
        <v>283</v>
      </c>
      <c r="S19" s="6" t="s">
        <v>283</v>
      </c>
      <c r="T19" s="6" t="s">
        <v>283</v>
      </c>
      <c r="U19" s="6" t="s">
        <v>283</v>
      </c>
      <c r="V19" s="6" t="s">
        <v>283</v>
      </c>
      <c r="W19" s="6" t="s">
        <v>283</v>
      </c>
      <c r="X19" s="6" t="s">
        <v>283</v>
      </c>
      <c r="Y19" s="16" t="s">
        <v>283</v>
      </c>
      <c r="Z19" s="16" t="s">
        <v>283</v>
      </c>
      <c r="AA19" s="16" t="s">
        <v>283</v>
      </c>
      <c r="AB19" s="16" t="s">
        <v>283</v>
      </c>
      <c r="AC19" s="6" t="s">
        <v>283</v>
      </c>
      <c r="AD19" s="6" t="s">
        <v>283</v>
      </c>
      <c r="AE19" s="6" t="s">
        <v>283</v>
      </c>
      <c r="AF19" s="6" t="s">
        <v>283</v>
      </c>
      <c r="AG19" s="6" t="s">
        <v>283</v>
      </c>
      <c r="AH19" s="6" t="s">
        <v>283</v>
      </c>
      <c r="AI19" s="6" t="s">
        <v>283</v>
      </c>
      <c r="AJ19" s="21" t="s">
        <v>283</v>
      </c>
    </row>
    <row r="20" spans="2:36" x14ac:dyDescent="0.3">
      <c r="B20" s="6"/>
      <c r="C20" s="8"/>
      <c r="D20" s="6"/>
      <c r="E20" s="10"/>
      <c r="F20" s="6">
        <v>312</v>
      </c>
      <c r="G20" s="6" t="s">
        <v>283</v>
      </c>
      <c r="H20" s="6" t="s">
        <v>283</v>
      </c>
      <c r="I20" s="6" t="s">
        <v>283</v>
      </c>
      <c r="J20" s="6" t="s">
        <v>9</v>
      </c>
      <c r="K20" s="28" t="s">
        <v>283</v>
      </c>
      <c r="L20" s="31" t="s">
        <v>283</v>
      </c>
      <c r="M20" s="16" t="s">
        <v>283</v>
      </c>
      <c r="N20" s="16" t="s">
        <v>283</v>
      </c>
      <c r="O20" s="16" t="s">
        <v>283</v>
      </c>
      <c r="P20" s="6" t="s">
        <v>283</v>
      </c>
      <c r="Q20" s="6" t="s">
        <v>283</v>
      </c>
      <c r="R20" s="6" t="s">
        <v>283</v>
      </c>
      <c r="S20" s="6" t="s">
        <v>283</v>
      </c>
      <c r="T20" s="6" t="s">
        <v>283</v>
      </c>
      <c r="U20" s="6" t="s">
        <v>283</v>
      </c>
      <c r="V20" s="6" t="s">
        <v>283</v>
      </c>
      <c r="W20" s="6" t="s">
        <v>283</v>
      </c>
      <c r="X20" s="6" t="s">
        <v>283</v>
      </c>
      <c r="Y20" s="16" t="s">
        <v>283</v>
      </c>
      <c r="Z20" s="16" t="s">
        <v>283</v>
      </c>
      <c r="AA20" s="16" t="s">
        <v>283</v>
      </c>
      <c r="AB20" s="16" t="s">
        <v>283</v>
      </c>
      <c r="AC20" s="6" t="s">
        <v>283</v>
      </c>
      <c r="AD20" s="6" t="s">
        <v>283</v>
      </c>
      <c r="AE20" s="6" t="s">
        <v>283</v>
      </c>
      <c r="AF20" s="6" t="s">
        <v>283</v>
      </c>
      <c r="AG20" s="6" t="s">
        <v>283</v>
      </c>
      <c r="AH20" s="6" t="s">
        <v>283</v>
      </c>
      <c r="AI20" s="6" t="s">
        <v>283</v>
      </c>
      <c r="AJ20" s="21" t="s">
        <v>283</v>
      </c>
    </row>
    <row r="21" spans="2:36" x14ac:dyDescent="0.3">
      <c r="B21" s="6">
        <v>11</v>
      </c>
      <c r="C21" s="8" t="s">
        <v>32</v>
      </c>
      <c r="D21" s="6" t="s">
        <v>132</v>
      </c>
      <c r="E21" s="10" t="s">
        <v>125</v>
      </c>
      <c r="F21" s="6">
        <v>96</v>
      </c>
      <c r="G21" s="6">
        <v>3</v>
      </c>
      <c r="H21" s="6">
        <f>25+44+14+10</f>
        <v>93</v>
      </c>
      <c r="I21" s="6" t="s">
        <v>365</v>
      </c>
      <c r="J21" s="6" t="s">
        <v>283</v>
      </c>
      <c r="K21" s="37" t="s">
        <v>208</v>
      </c>
      <c r="L21" s="31"/>
      <c r="M21" s="16"/>
      <c r="N21" s="16"/>
      <c r="O21" s="16"/>
      <c r="P21" s="38">
        <v>100</v>
      </c>
      <c r="Q21" s="38">
        <v>57</v>
      </c>
      <c r="R21" s="38"/>
      <c r="S21" s="38"/>
      <c r="T21" s="38"/>
      <c r="U21" s="38"/>
      <c r="V21" s="38"/>
      <c r="W21" s="38">
        <v>0.77400000000000002</v>
      </c>
      <c r="X21" s="6"/>
      <c r="Y21" s="16"/>
      <c r="Z21" s="16"/>
      <c r="AA21" s="16"/>
      <c r="AB21" s="16"/>
      <c r="AC21" s="6"/>
      <c r="AD21" s="6"/>
      <c r="AE21" s="6"/>
      <c r="AF21" s="6"/>
      <c r="AG21" s="6"/>
      <c r="AH21" s="6"/>
      <c r="AI21" s="6"/>
      <c r="AJ21" s="21"/>
    </row>
    <row r="22" spans="2:36" x14ac:dyDescent="0.3">
      <c r="B22" s="6">
        <v>12</v>
      </c>
      <c r="C22" s="8" t="s">
        <v>35</v>
      </c>
      <c r="D22" s="6" t="s">
        <v>131</v>
      </c>
      <c r="E22" s="42" t="s">
        <v>410</v>
      </c>
      <c r="F22" s="6">
        <v>108</v>
      </c>
      <c r="G22" s="15">
        <v>17</v>
      </c>
      <c r="H22" s="6">
        <v>91</v>
      </c>
      <c r="I22" s="6" t="s">
        <v>365</v>
      </c>
      <c r="J22" s="6" t="s">
        <v>283</v>
      </c>
      <c r="K22" s="28">
        <v>2.7</v>
      </c>
      <c r="L22" s="11"/>
      <c r="M22" s="12"/>
      <c r="N22" s="12"/>
      <c r="O22" s="12"/>
      <c r="P22" s="7">
        <v>75</v>
      </c>
      <c r="Q22" s="7">
        <v>62</v>
      </c>
      <c r="R22" s="7">
        <v>66</v>
      </c>
      <c r="S22" s="7">
        <v>93</v>
      </c>
      <c r="T22" s="7"/>
      <c r="U22" s="7"/>
      <c r="V22" s="7"/>
      <c r="W22" s="7">
        <v>0.76</v>
      </c>
      <c r="X22" s="7"/>
      <c r="Y22" s="17">
        <f>$G22*$P22/100</f>
        <v>12.75</v>
      </c>
      <c r="Z22" s="17">
        <f>$H22-$AB22</f>
        <v>34.58</v>
      </c>
      <c r="AA22" s="17">
        <f>$G22-$Y22</f>
        <v>4.25</v>
      </c>
      <c r="AB22" s="17">
        <f>$H22*$Q22/100</f>
        <v>56.42</v>
      </c>
      <c r="AC22" s="7">
        <f>$Y22/($Y22+$AA22)</f>
        <v>0.75</v>
      </c>
      <c r="AD22" s="7">
        <f>$AB22/($Z22+$AB22)</f>
        <v>0.62</v>
      </c>
      <c r="AE22" s="7">
        <f>$Y22/($Y22+$Z22)</f>
        <v>0.26938516796957535</v>
      </c>
      <c r="AF22" s="7">
        <f>$AB22/($AA22+$AB22)</f>
        <v>0.92994890390637874</v>
      </c>
      <c r="AG22" s="7">
        <f>$AC22/(1-$AD22)</f>
        <v>1.9736842105263157</v>
      </c>
      <c r="AH22" s="7">
        <f>(1-$AC22)/$AD22</f>
        <v>0.40322580645161293</v>
      </c>
      <c r="AI22" s="7">
        <f>($Y22+$AB22)/($Y22+$Z22+$AA22+$AB22)</f>
        <v>0.64046296296296301</v>
      </c>
      <c r="AJ22" s="20">
        <f>($Y22*$AB22)/($Z22*$AA22)</f>
        <v>4.8947368421052628</v>
      </c>
    </row>
    <row r="23" spans="2:36" x14ac:dyDescent="0.3">
      <c r="B23" s="6"/>
      <c r="C23" s="8"/>
      <c r="D23" s="6"/>
      <c r="E23" s="10"/>
      <c r="F23" s="6">
        <v>108</v>
      </c>
      <c r="G23" s="15">
        <v>17</v>
      </c>
      <c r="H23" s="6">
        <v>91</v>
      </c>
      <c r="I23" s="6" t="s">
        <v>283</v>
      </c>
      <c r="J23" s="6" t="s">
        <v>9</v>
      </c>
      <c r="K23" s="28" t="s">
        <v>400</v>
      </c>
      <c r="L23" s="11"/>
      <c r="M23" s="12"/>
      <c r="N23" s="12"/>
      <c r="O23" s="12"/>
      <c r="P23" s="7">
        <v>83</v>
      </c>
      <c r="Q23" s="7">
        <v>82</v>
      </c>
      <c r="R23" s="7">
        <v>63</v>
      </c>
      <c r="S23" s="7">
        <v>97</v>
      </c>
      <c r="T23" s="7"/>
      <c r="U23" s="7"/>
      <c r="V23" s="7"/>
      <c r="W23" s="7">
        <v>0.89</v>
      </c>
      <c r="X23" s="7"/>
      <c r="Y23" s="17">
        <f>$G23*$P23/100</f>
        <v>14.11</v>
      </c>
      <c r="Z23" s="17">
        <f>$H23-$AB23</f>
        <v>16.379999999999995</v>
      </c>
      <c r="AA23" s="17">
        <f>$G23-$Y23</f>
        <v>2.8900000000000006</v>
      </c>
      <c r="AB23" s="17">
        <f>$H23*$Q23/100</f>
        <v>74.62</v>
      </c>
      <c r="AC23" s="7">
        <f>$Y23/($Y23+$AA23)</f>
        <v>0.83</v>
      </c>
      <c r="AD23" s="7">
        <f>$AB23/($Z23+$AB23)</f>
        <v>0.82000000000000006</v>
      </c>
      <c r="AE23" s="7">
        <f>$Y23/($Y23+$Z23)</f>
        <v>0.46277468022302398</v>
      </c>
      <c r="AF23" s="7">
        <f>$AB23/($AA23+$AB23)</f>
        <v>0.96271448845310281</v>
      </c>
      <c r="AG23" s="7">
        <f>$AC23/(1-$AD23)</f>
        <v>4.6111111111111125</v>
      </c>
      <c r="AH23" s="7">
        <f>(1-$AC23)/$AD23</f>
        <v>0.20731707317073175</v>
      </c>
      <c r="AI23" s="7">
        <f>($Y23+$AB23)/($Y23+$Z23+$AA23+$AB23)</f>
        <v>0.82157407407407412</v>
      </c>
      <c r="AJ23" s="20">
        <f>($Y23*$AB23)/($Z23*$AA23)</f>
        <v>22.241830065359483</v>
      </c>
    </row>
    <row r="24" spans="2:36" x14ac:dyDescent="0.3">
      <c r="B24" s="6"/>
      <c r="C24" s="8"/>
      <c r="D24" s="6"/>
      <c r="E24" s="10"/>
      <c r="F24" s="6">
        <v>108</v>
      </c>
      <c r="G24" s="15">
        <v>17</v>
      </c>
      <c r="H24" s="6">
        <v>91</v>
      </c>
      <c r="I24" s="6" t="s">
        <v>283</v>
      </c>
      <c r="J24" s="6" t="s">
        <v>266</v>
      </c>
      <c r="K24" s="28" t="s">
        <v>401</v>
      </c>
      <c r="L24" s="11"/>
      <c r="M24" s="12"/>
      <c r="N24" s="12"/>
      <c r="O24" s="12"/>
      <c r="P24" s="7">
        <v>92</v>
      </c>
      <c r="Q24" s="7">
        <v>70</v>
      </c>
      <c r="R24" s="7">
        <v>65</v>
      </c>
      <c r="S24" s="7">
        <v>98</v>
      </c>
      <c r="T24" s="7"/>
      <c r="U24" s="7"/>
      <c r="V24" s="7"/>
      <c r="W24" s="7">
        <v>0.86</v>
      </c>
      <c r="X24" s="7"/>
      <c r="Y24" s="17">
        <f>$G24*$P24/100</f>
        <v>15.64</v>
      </c>
      <c r="Z24" s="17">
        <f>$H24-$AB24</f>
        <v>27.299999999999997</v>
      </c>
      <c r="AA24" s="17">
        <f>$G24-$Y24</f>
        <v>1.3599999999999994</v>
      </c>
      <c r="AB24" s="17">
        <f>$H24*$Q24/100</f>
        <v>63.7</v>
      </c>
      <c r="AC24" s="7">
        <f>$Y24/($Y24+$AA24)</f>
        <v>0.92</v>
      </c>
      <c r="AD24" s="7">
        <f>$AB24/($Z24+$AB24)</f>
        <v>0.70000000000000007</v>
      </c>
      <c r="AE24" s="7">
        <f>$Y24/($Y24+$Z24)</f>
        <v>0.36422915696320451</v>
      </c>
      <c r="AF24" s="7">
        <f>$AB24/($AA24+$AB24)</f>
        <v>0.97909621887488474</v>
      </c>
      <c r="AG24" s="7">
        <f>$AC24/(1-$AD24)</f>
        <v>3.0666666666666673</v>
      </c>
      <c r="AH24" s="7">
        <f>(1-$AC24)/$AD24</f>
        <v>0.11428571428571421</v>
      </c>
      <c r="AI24" s="7">
        <f>($Y24+$AB24)/($Y24+$Z24+$AA24+$AB24)</f>
        <v>0.73462962962962963</v>
      </c>
      <c r="AJ24" s="20">
        <f>($Y24*$AB24)/($Z24*$AA24)</f>
        <v>26.83333333333335</v>
      </c>
    </row>
    <row r="25" spans="2:36" x14ac:dyDescent="0.3">
      <c r="B25" s="6">
        <v>13</v>
      </c>
      <c r="C25" s="8" t="s">
        <v>37</v>
      </c>
      <c r="D25" s="6" t="s">
        <v>131</v>
      </c>
      <c r="E25" s="10" t="s">
        <v>206</v>
      </c>
      <c r="F25" s="6">
        <v>238</v>
      </c>
      <c r="G25" s="15">
        <v>84</v>
      </c>
      <c r="H25" s="6">
        <f>7+32+60+55</f>
        <v>154</v>
      </c>
      <c r="I25" s="6" t="s">
        <v>365</v>
      </c>
      <c r="J25" s="6" t="s">
        <v>283</v>
      </c>
      <c r="K25" s="28">
        <v>1.32</v>
      </c>
      <c r="L25" s="11"/>
      <c r="M25" s="12"/>
      <c r="N25" s="12"/>
      <c r="O25" s="12"/>
      <c r="P25" s="7">
        <v>64.290000000000006</v>
      </c>
      <c r="Q25" s="7">
        <v>61.04</v>
      </c>
      <c r="R25" s="7"/>
      <c r="S25" s="7"/>
      <c r="T25" s="7"/>
      <c r="U25" s="7"/>
      <c r="V25" s="7"/>
      <c r="W25" s="7">
        <v>0.65700000000000003</v>
      </c>
      <c r="X25" s="7" t="s">
        <v>153</v>
      </c>
      <c r="Y25" s="17">
        <f>$G25*$P25/100</f>
        <v>54.003600000000006</v>
      </c>
      <c r="Z25" s="17">
        <f>$H25-$AB25</f>
        <v>59.998400000000004</v>
      </c>
      <c r="AA25" s="17">
        <f>$G25-$Y25</f>
        <v>29.996399999999994</v>
      </c>
      <c r="AB25" s="17">
        <f>$H25*$Q25/100</f>
        <v>94.001599999999996</v>
      </c>
      <c r="AC25" s="7">
        <f>$Y25/($Y25+$AA25)</f>
        <v>0.64290000000000003</v>
      </c>
      <c r="AD25" s="7">
        <f>$AB25/($Z25+$AB25)</f>
        <v>0.61039999999999994</v>
      </c>
      <c r="AE25" s="7">
        <f>$Y25/($Y25+$Z25)</f>
        <v>0.47370747881616115</v>
      </c>
      <c r="AF25" s="7">
        <f>$AB25/($AA25+$AB25)</f>
        <v>0.75808964660720335</v>
      </c>
      <c r="AG25" s="7">
        <f>$AC25/(1-$AD25)</f>
        <v>1.6501540041067759</v>
      </c>
      <c r="AH25" s="7">
        <f>(1-$AC25)/$AD25</f>
        <v>0.58502621231979035</v>
      </c>
      <c r="AI25" s="7">
        <f>($Y25+$AB25)/($Y25+$Z25+$AA25+$AB25)</f>
        <v>0.62187058823529417</v>
      </c>
      <c r="AJ25" s="20">
        <f>($Y25*$AB25)/($Z25*$AA25)</f>
        <v>2.8206496894617095</v>
      </c>
    </row>
    <row r="26" spans="2:36" x14ac:dyDescent="0.3">
      <c r="B26" s="6"/>
      <c r="C26" s="8"/>
      <c r="D26" s="6"/>
      <c r="E26" s="10"/>
      <c r="F26" s="6">
        <v>238</v>
      </c>
      <c r="G26" s="47">
        <v>84</v>
      </c>
      <c r="H26" s="41">
        <f>7+32+60+55</f>
        <v>154</v>
      </c>
      <c r="I26" s="6" t="s">
        <v>283</v>
      </c>
      <c r="J26" s="6" t="s">
        <v>29</v>
      </c>
      <c r="K26" s="28" t="s">
        <v>402</v>
      </c>
      <c r="L26" s="11"/>
      <c r="M26" s="12"/>
      <c r="N26" s="12"/>
      <c r="O26" s="12"/>
      <c r="P26" s="7">
        <v>85.71</v>
      </c>
      <c r="Q26" s="7">
        <v>88.31</v>
      </c>
      <c r="R26" s="7"/>
      <c r="S26" s="7"/>
      <c r="T26" s="7"/>
      <c r="U26" s="7"/>
      <c r="V26" s="7"/>
      <c r="W26" s="7">
        <v>0.90400000000000003</v>
      </c>
      <c r="X26" s="7" t="s">
        <v>233</v>
      </c>
      <c r="Y26" s="17">
        <f>$G26*$P26/100</f>
        <v>71.996399999999994</v>
      </c>
      <c r="Z26" s="17">
        <f>$H26-$AB26</f>
        <v>18.002600000000001</v>
      </c>
      <c r="AA26" s="17">
        <f>$G26-$Y26</f>
        <v>12.003600000000006</v>
      </c>
      <c r="AB26" s="17">
        <f>$H26*$Q26/100</f>
        <v>135.9974</v>
      </c>
      <c r="AC26" s="7">
        <f>$Y26/($Y26+$AA26)</f>
        <v>0.85709999999999997</v>
      </c>
      <c r="AD26" s="7">
        <f>$AB26/($Z26+$AB26)</f>
        <v>0.8831</v>
      </c>
      <c r="AE26" s="7">
        <f>$Y26/($Y26+$Z26)</f>
        <v>0.79996888854320602</v>
      </c>
      <c r="AF26" s="7">
        <f>$AB26/($AA26+$AB26)</f>
        <v>0.91889514260038785</v>
      </c>
      <c r="AG26" s="7">
        <f>$AC26/(1-$AD26)</f>
        <v>7.3319076133447387</v>
      </c>
      <c r="AH26" s="7">
        <f>(1-$AC26)/$AD26</f>
        <v>0.16181632884158081</v>
      </c>
      <c r="AI26" s="7">
        <f>($Y26+$AB26)/($Y26+$Z26+$AA26+$AB26)</f>
        <v>0.87392352941176465</v>
      </c>
      <c r="AJ26" s="20">
        <f>($Y26*$AB26)/($Z26*$AA26)</f>
        <v>45.310060275330549</v>
      </c>
    </row>
    <row r="27" spans="2:36" x14ac:dyDescent="0.3">
      <c r="B27" s="6"/>
      <c r="C27" s="8"/>
      <c r="D27" s="6" t="s">
        <v>132</v>
      </c>
      <c r="E27" s="10" t="s">
        <v>125</v>
      </c>
      <c r="F27" s="6">
        <v>135</v>
      </c>
      <c r="G27" s="47" t="s">
        <v>208</v>
      </c>
      <c r="H27" s="47" t="s">
        <v>208</v>
      </c>
      <c r="I27" s="6" t="s">
        <v>365</v>
      </c>
      <c r="J27" s="6" t="s">
        <v>283</v>
      </c>
      <c r="K27" s="28">
        <v>1.07</v>
      </c>
      <c r="L27" s="11"/>
      <c r="M27" s="12"/>
      <c r="N27" s="12"/>
      <c r="O27" s="12"/>
      <c r="P27" s="7">
        <v>65.31</v>
      </c>
      <c r="Q27" s="7">
        <v>55.81</v>
      </c>
      <c r="R27" s="7"/>
      <c r="S27" s="7"/>
      <c r="T27" s="7"/>
      <c r="U27" s="7"/>
      <c r="V27" s="7"/>
      <c r="W27" s="7">
        <v>0.61699999999999999</v>
      </c>
      <c r="X27" s="35" t="s">
        <v>197</v>
      </c>
      <c r="Y27" s="16"/>
      <c r="Z27" s="16"/>
      <c r="AA27" s="16"/>
      <c r="AB27" s="16"/>
      <c r="AC27" s="6"/>
      <c r="AD27" s="6"/>
      <c r="AE27" s="6"/>
      <c r="AF27" s="6"/>
      <c r="AG27" s="6"/>
      <c r="AH27" s="6"/>
      <c r="AI27" s="6"/>
      <c r="AJ27" s="6"/>
    </row>
    <row r="28" spans="2:36" x14ac:dyDescent="0.3">
      <c r="B28" s="6"/>
      <c r="C28" s="8"/>
      <c r="D28" s="6"/>
      <c r="E28" s="10"/>
      <c r="F28" s="6">
        <v>135</v>
      </c>
      <c r="G28" s="47" t="s">
        <v>208</v>
      </c>
      <c r="H28" s="47" t="s">
        <v>208</v>
      </c>
      <c r="I28" s="6" t="s">
        <v>283</v>
      </c>
      <c r="J28" s="6" t="s">
        <v>29</v>
      </c>
      <c r="K28" s="28" t="s">
        <v>403</v>
      </c>
      <c r="L28" s="11"/>
      <c r="M28" s="12"/>
      <c r="N28" s="12"/>
      <c r="O28" s="12"/>
      <c r="P28" s="7">
        <v>75.510000000000005</v>
      </c>
      <c r="Q28" s="7">
        <v>87.21</v>
      </c>
      <c r="R28" s="7"/>
      <c r="S28" s="7"/>
      <c r="T28" s="7"/>
      <c r="U28" s="7"/>
      <c r="V28" s="7"/>
      <c r="W28" s="7">
        <v>0.84299999999999997</v>
      </c>
      <c r="X28" s="35" t="s">
        <v>263</v>
      </c>
      <c r="Y28" s="16"/>
      <c r="Z28" s="16"/>
      <c r="AA28" s="16"/>
      <c r="AB28" s="16"/>
      <c r="AC28" s="6"/>
      <c r="AD28" s="6"/>
      <c r="AE28" s="6"/>
      <c r="AF28" s="6"/>
      <c r="AG28" s="6"/>
      <c r="AH28" s="6"/>
      <c r="AI28" s="6"/>
      <c r="AJ28" s="6"/>
    </row>
    <row r="29" spans="2:36" x14ac:dyDescent="0.3">
      <c r="B29" s="6"/>
      <c r="C29" s="8"/>
      <c r="D29" s="6" t="s">
        <v>130</v>
      </c>
      <c r="E29" s="10" t="s">
        <v>120</v>
      </c>
      <c r="F29" s="6">
        <v>75</v>
      </c>
      <c r="G29" s="47" t="s">
        <v>208</v>
      </c>
      <c r="H29" s="47" t="s">
        <v>208</v>
      </c>
      <c r="I29" s="6" t="s">
        <v>365</v>
      </c>
      <c r="J29" s="6" t="s">
        <v>283</v>
      </c>
      <c r="K29" s="28">
        <v>2.4500000000000002</v>
      </c>
      <c r="L29" s="11"/>
      <c r="M29" s="12"/>
      <c r="N29" s="12"/>
      <c r="O29" s="12"/>
      <c r="P29" s="7">
        <v>59.26</v>
      </c>
      <c r="Q29" s="7">
        <v>79.17</v>
      </c>
      <c r="R29" s="7"/>
      <c r="S29" s="7"/>
      <c r="T29" s="7"/>
      <c r="U29" s="7"/>
      <c r="V29" s="7"/>
      <c r="W29" s="7">
        <v>0.72799999999999998</v>
      </c>
      <c r="X29" s="35" t="s">
        <v>198</v>
      </c>
      <c r="Y29" s="16"/>
      <c r="Z29" s="16"/>
      <c r="AA29" s="16"/>
      <c r="AB29" s="16"/>
      <c r="AC29" s="6"/>
      <c r="AD29" s="6"/>
      <c r="AE29" s="6"/>
      <c r="AF29" s="6"/>
      <c r="AG29" s="6"/>
      <c r="AH29" s="6"/>
      <c r="AI29" s="6"/>
      <c r="AJ29" s="6"/>
    </row>
    <row r="30" spans="2:36" x14ac:dyDescent="0.3">
      <c r="B30" s="6"/>
      <c r="C30" s="8"/>
      <c r="D30" s="6"/>
      <c r="E30" s="10"/>
      <c r="F30" s="6">
        <v>75</v>
      </c>
      <c r="G30" s="47" t="s">
        <v>208</v>
      </c>
      <c r="H30" s="47" t="s">
        <v>208</v>
      </c>
      <c r="I30" s="6" t="s">
        <v>283</v>
      </c>
      <c r="J30" s="6" t="s">
        <v>29</v>
      </c>
      <c r="K30" s="28" t="s">
        <v>404</v>
      </c>
      <c r="L30" s="11"/>
      <c r="M30" s="12"/>
      <c r="N30" s="12"/>
      <c r="O30" s="12"/>
      <c r="P30" s="7">
        <v>100</v>
      </c>
      <c r="Q30" s="7">
        <v>87.5</v>
      </c>
      <c r="R30" s="7"/>
      <c r="S30" s="7"/>
      <c r="T30" s="7"/>
      <c r="U30" s="7"/>
      <c r="V30" s="7"/>
      <c r="W30" s="7">
        <v>0.97499999999999998</v>
      </c>
      <c r="X30" s="35" t="s">
        <v>264</v>
      </c>
      <c r="Y30" s="16"/>
      <c r="Z30" s="16"/>
      <c r="AA30" s="16"/>
      <c r="AB30" s="16"/>
      <c r="AC30" s="6"/>
      <c r="AD30" s="6"/>
      <c r="AE30" s="6"/>
      <c r="AF30" s="6"/>
      <c r="AG30" s="6"/>
      <c r="AH30" s="6"/>
      <c r="AI30" s="6"/>
      <c r="AJ30" s="6"/>
    </row>
    <row r="31" spans="2:36" x14ac:dyDescent="0.3">
      <c r="B31" s="6">
        <v>14</v>
      </c>
      <c r="C31" s="8" t="s">
        <v>38</v>
      </c>
      <c r="D31" s="6" t="s">
        <v>131</v>
      </c>
      <c r="E31" s="10" t="s">
        <v>190</v>
      </c>
      <c r="F31" s="6">
        <v>70</v>
      </c>
      <c r="G31" s="41">
        <v>25</v>
      </c>
      <c r="H31" s="41">
        <f>4+13+17+11</f>
        <v>45</v>
      </c>
      <c r="I31" s="6" t="s">
        <v>365</v>
      </c>
      <c r="J31" s="6" t="s">
        <v>283</v>
      </c>
      <c r="K31" s="37" t="s">
        <v>208</v>
      </c>
      <c r="L31" s="11"/>
      <c r="M31" s="12"/>
      <c r="N31" s="12"/>
      <c r="O31" s="12"/>
      <c r="P31" s="7">
        <v>84</v>
      </c>
      <c r="Q31" s="7">
        <v>55.56</v>
      </c>
      <c r="R31" s="7"/>
      <c r="S31" s="7"/>
      <c r="T31" s="7"/>
      <c r="U31" s="7"/>
      <c r="V31" s="7"/>
      <c r="W31" s="7">
        <v>0.72099999999999997</v>
      </c>
      <c r="X31" s="35" t="s">
        <v>156</v>
      </c>
      <c r="Y31" s="12"/>
      <c r="Z31" s="12"/>
      <c r="AA31" s="12"/>
      <c r="AB31" s="12"/>
      <c r="AC31" s="7"/>
      <c r="AD31" s="7"/>
      <c r="AE31" s="7"/>
      <c r="AF31" s="7"/>
      <c r="AG31" s="7"/>
      <c r="AH31" s="7"/>
      <c r="AI31" s="7"/>
      <c r="AJ31" s="20"/>
    </row>
    <row r="32" spans="2:36" x14ac:dyDescent="0.3">
      <c r="B32" s="6"/>
      <c r="C32" s="8"/>
      <c r="D32" s="6"/>
      <c r="E32" s="10"/>
      <c r="F32" s="6">
        <v>70</v>
      </c>
      <c r="G32" s="41">
        <v>25</v>
      </c>
      <c r="H32" s="41">
        <f>4+13+17+11</f>
        <v>45</v>
      </c>
      <c r="I32" s="6" t="s">
        <v>283</v>
      </c>
      <c r="J32" s="6" t="s">
        <v>136</v>
      </c>
      <c r="K32" s="37" t="s">
        <v>208</v>
      </c>
      <c r="L32" s="11"/>
      <c r="M32" s="12"/>
      <c r="N32" s="12"/>
      <c r="O32" s="12"/>
      <c r="P32" s="7">
        <v>96</v>
      </c>
      <c r="Q32" s="7">
        <v>62.22</v>
      </c>
      <c r="R32" s="7"/>
      <c r="S32" s="7"/>
      <c r="T32" s="7"/>
      <c r="U32" s="7"/>
      <c r="V32" s="7"/>
      <c r="W32" s="7">
        <v>0.82699999999999996</v>
      </c>
      <c r="X32" s="35" t="s">
        <v>240</v>
      </c>
      <c r="Y32" s="12"/>
      <c r="Z32" s="12"/>
      <c r="AA32" s="12"/>
      <c r="AB32" s="12"/>
      <c r="AC32" s="7"/>
      <c r="AD32" s="7"/>
      <c r="AE32" s="7"/>
      <c r="AF32" s="7"/>
      <c r="AG32" s="7"/>
      <c r="AH32" s="7"/>
      <c r="AI32" s="7"/>
      <c r="AJ32" s="20"/>
    </row>
    <row r="33" spans="2:36" x14ac:dyDescent="0.3">
      <c r="B33" s="6"/>
      <c r="C33" s="8"/>
      <c r="D33" s="6" t="s">
        <v>132</v>
      </c>
      <c r="E33" s="10" t="s">
        <v>125</v>
      </c>
      <c r="F33" s="6">
        <v>33</v>
      </c>
      <c r="G33" s="47" t="s">
        <v>208</v>
      </c>
      <c r="H33" s="47" t="s">
        <v>208</v>
      </c>
      <c r="I33" s="6" t="s">
        <v>365</v>
      </c>
      <c r="J33" s="6" t="s">
        <v>283</v>
      </c>
      <c r="K33" s="37" t="s">
        <v>208</v>
      </c>
      <c r="L33" s="11"/>
      <c r="M33" s="12"/>
      <c r="N33" s="12"/>
      <c r="O33" s="12"/>
      <c r="P33" s="7">
        <v>84.62</v>
      </c>
      <c r="Q33" s="7">
        <v>65</v>
      </c>
      <c r="R33" s="7"/>
      <c r="S33" s="7"/>
      <c r="T33" s="7"/>
      <c r="U33" s="7"/>
      <c r="V33" s="7"/>
      <c r="W33" s="7">
        <v>0.69199999999999995</v>
      </c>
      <c r="X33" s="35" t="s">
        <v>201</v>
      </c>
      <c r="Y33" s="12"/>
      <c r="Z33" s="12"/>
      <c r="AA33" s="12"/>
      <c r="AB33" s="12"/>
      <c r="AC33" s="7"/>
      <c r="AD33" s="7"/>
      <c r="AE33" s="7"/>
      <c r="AF33" s="7"/>
      <c r="AG33" s="7"/>
      <c r="AH33" s="7"/>
      <c r="AI33" s="7"/>
      <c r="AJ33" s="20"/>
    </row>
    <row r="34" spans="2:36" x14ac:dyDescent="0.3">
      <c r="B34" s="6"/>
      <c r="C34" s="8"/>
      <c r="D34" s="6"/>
      <c r="E34" s="10"/>
      <c r="F34" s="6">
        <v>33</v>
      </c>
      <c r="G34" s="47" t="s">
        <v>208</v>
      </c>
      <c r="H34" s="47" t="s">
        <v>208</v>
      </c>
      <c r="I34" s="6" t="s">
        <v>283</v>
      </c>
      <c r="J34" s="6" t="s">
        <v>136</v>
      </c>
      <c r="K34" s="37" t="s">
        <v>208</v>
      </c>
      <c r="L34" s="11"/>
      <c r="M34" s="12"/>
      <c r="N34" s="12"/>
      <c r="O34" s="12"/>
      <c r="P34" s="7">
        <v>92.31</v>
      </c>
      <c r="Q34" s="7">
        <v>70</v>
      </c>
      <c r="R34" s="7"/>
      <c r="S34" s="7"/>
      <c r="T34" s="7"/>
      <c r="U34" s="7"/>
      <c r="V34" s="7"/>
      <c r="W34" s="7">
        <v>0.81299999999999994</v>
      </c>
      <c r="X34" s="35" t="s">
        <v>241</v>
      </c>
      <c r="Y34" s="12"/>
      <c r="Z34" s="12"/>
      <c r="AA34" s="12"/>
      <c r="AB34" s="12"/>
      <c r="AC34" s="7"/>
      <c r="AD34" s="7"/>
      <c r="AE34" s="7"/>
      <c r="AF34" s="7"/>
      <c r="AG34" s="7"/>
      <c r="AH34" s="7"/>
      <c r="AI34" s="7"/>
      <c r="AJ34" s="20"/>
    </row>
    <row r="35" spans="2:36" x14ac:dyDescent="0.3">
      <c r="B35" s="6"/>
      <c r="C35" s="8"/>
      <c r="D35" s="6" t="s">
        <v>130</v>
      </c>
      <c r="E35" s="10" t="s">
        <v>120</v>
      </c>
      <c r="F35" s="6" t="s">
        <v>281</v>
      </c>
      <c r="G35" s="47" t="s">
        <v>208</v>
      </c>
      <c r="H35" s="47" t="s">
        <v>208</v>
      </c>
      <c r="I35" s="6" t="s">
        <v>365</v>
      </c>
      <c r="J35" s="6" t="s">
        <v>283</v>
      </c>
      <c r="K35" s="37" t="s">
        <v>208</v>
      </c>
      <c r="L35" s="11"/>
      <c r="M35" s="12"/>
      <c r="N35" s="12"/>
      <c r="O35" s="12"/>
      <c r="P35" s="7">
        <v>72.73</v>
      </c>
      <c r="Q35" s="7">
        <v>76.47</v>
      </c>
      <c r="R35" s="7"/>
      <c r="S35" s="7"/>
      <c r="T35" s="7"/>
      <c r="U35" s="7"/>
      <c r="V35" s="7"/>
      <c r="W35" s="7">
        <v>0.79100000000000004</v>
      </c>
      <c r="X35" s="35" t="s">
        <v>202</v>
      </c>
      <c r="Y35" s="12"/>
      <c r="Z35" s="12"/>
      <c r="AA35" s="12"/>
      <c r="AB35" s="12"/>
      <c r="AC35" s="7"/>
      <c r="AD35" s="7"/>
      <c r="AE35" s="7"/>
      <c r="AF35" s="7"/>
      <c r="AG35" s="7"/>
      <c r="AH35" s="7"/>
      <c r="AI35" s="7"/>
      <c r="AJ35" s="20"/>
    </row>
    <row r="36" spans="2:36" x14ac:dyDescent="0.3">
      <c r="B36" s="6"/>
      <c r="C36" s="8"/>
      <c r="D36" s="6"/>
      <c r="E36" s="10"/>
      <c r="F36" s="6" t="s">
        <v>281</v>
      </c>
      <c r="G36" s="47" t="s">
        <v>208</v>
      </c>
      <c r="H36" s="47" t="s">
        <v>208</v>
      </c>
      <c r="I36" s="6" t="s">
        <v>283</v>
      </c>
      <c r="J36" s="6" t="s">
        <v>136</v>
      </c>
      <c r="K36" s="37" t="s">
        <v>208</v>
      </c>
      <c r="L36" s="11"/>
      <c r="M36" s="12"/>
      <c r="N36" s="12"/>
      <c r="O36" s="12"/>
      <c r="P36" s="7">
        <v>90.91</v>
      </c>
      <c r="Q36" s="7">
        <v>70.59</v>
      </c>
      <c r="R36" s="7"/>
      <c r="S36" s="7"/>
      <c r="T36" s="7"/>
      <c r="U36" s="7"/>
      <c r="V36" s="7"/>
      <c r="W36" s="7">
        <v>0.85599999999999998</v>
      </c>
      <c r="X36" s="35" t="s">
        <v>242</v>
      </c>
      <c r="Y36" s="12"/>
      <c r="Z36" s="12"/>
      <c r="AA36" s="12"/>
      <c r="AB36" s="12"/>
      <c r="AC36" s="7"/>
      <c r="AD36" s="7"/>
      <c r="AE36" s="7"/>
      <c r="AF36" s="7"/>
      <c r="AG36" s="7"/>
      <c r="AH36" s="7"/>
      <c r="AI36" s="7"/>
      <c r="AJ36" s="20"/>
    </row>
    <row r="37" spans="2:36" x14ac:dyDescent="0.3">
      <c r="B37" s="6">
        <v>15</v>
      </c>
      <c r="C37" s="8" t="s">
        <v>40</v>
      </c>
      <c r="D37" s="6" t="s">
        <v>131</v>
      </c>
      <c r="E37" s="10" t="s">
        <v>126</v>
      </c>
      <c r="F37" s="6">
        <v>53</v>
      </c>
      <c r="G37" s="47">
        <v>17</v>
      </c>
      <c r="H37" s="41">
        <f>4+8+12+12</f>
        <v>36</v>
      </c>
      <c r="I37" s="6" t="s">
        <v>365</v>
      </c>
      <c r="J37" s="6" t="s">
        <v>283</v>
      </c>
      <c r="K37" s="28">
        <v>0.78</v>
      </c>
      <c r="L37" s="11"/>
      <c r="M37" s="12"/>
      <c r="N37" s="12"/>
      <c r="O37" s="12"/>
      <c r="P37" s="7">
        <v>90</v>
      </c>
      <c r="Q37" s="7">
        <v>58</v>
      </c>
      <c r="R37" s="7"/>
      <c r="S37" s="7"/>
      <c r="T37" s="7"/>
      <c r="U37" s="7"/>
      <c r="V37" s="7"/>
      <c r="W37" s="7">
        <v>0.84599999999999997</v>
      </c>
      <c r="X37" s="7" t="s">
        <v>157</v>
      </c>
      <c r="Y37" s="17">
        <f>$G37*$P37/100</f>
        <v>15.3</v>
      </c>
      <c r="Z37" s="17">
        <f>$H37-$AB37</f>
        <v>15.120000000000001</v>
      </c>
      <c r="AA37" s="17">
        <f>$G37-$Y37</f>
        <v>1.6999999999999993</v>
      </c>
      <c r="AB37" s="17">
        <f>$H37*$Q37/100</f>
        <v>20.88</v>
      </c>
      <c r="AC37" s="7">
        <f>$Y37/($Y37+$AA37)</f>
        <v>0.9</v>
      </c>
      <c r="AD37" s="7">
        <f>$AB37/($Z37+$AB37)</f>
        <v>0.57999999999999996</v>
      </c>
      <c r="AE37" s="7">
        <f>$Y37/($Y37+$Z37)</f>
        <v>0.50295857988165682</v>
      </c>
      <c r="AF37" s="7">
        <f>$AB37/($AA37+$AB37)</f>
        <v>0.92471213463241808</v>
      </c>
      <c r="AG37" s="7">
        <f>$AC37/(1-$AD37)</f>
        <v>2.1428571428571428</v>
      </c>
      <c r="AH37" s="7">
        <f>(1-$AC37)/$AD37</f>
        <v>0.17241379310344826</v>
      </c>
      <c r="AI37" s="7">
        <f>($Y37+$AB37)/($Y37+$Z37+$AA37+$AB37)</f>
        <v>0.68264150943396229</v>
      </c>
      <c r="AJ37" s="20">
        <f>($Y37*$AB37)/($Z37*$AA37)</f>
        <v>12.428571428571434</v>
      </c>
    </row>
    <row r="38" spans="2:36" x14ac:dyDescent="0.3">
      <c r="B38" s="6">
        <v>16</v>
      </c>
      <c r="C38" s="8" t="s">
        <v>43</v>
      </c>
      <c r="D38" s="6" t="s">
        <v>131</v>
      </c>
      <c r="E38" s="10" t="s">
        <v>124</v>
      </c>
      <c r="F38" s="6">
        <v>116</v>
      </c>
      <c r="G38" s="6" t="s">
        <v>283</v>
      </c>
      <c r="H38" s="6" t="s">
        <v>283</v>
      </c>
      <c r="I38" s="6" t="s">
        <v>365</v>
      </c>
      <c r="J38" s="6" t="s">
        <v>283</v>
      </c>
      <c r="K38" s="28" t="s">
        <v>283</v>
      </c>
      <c r="L38" s="31" t="s">
        <v>283</v>
      </c>
      <c r="M38" s="16" t="s">
        <v>283</v>
      </c>
      <c r="N38" s="16" t="s">
        <v>283</v>
      </c>
      <c r="O38" s="16" t="s">
        <v>283</v>
      </c>
      <c r="P38" s="6" t="s">
        <v>283</v>
      </c>
      <c r="Q38" s="6" t="s">
        <v>283</v>
      </c>
      <c r="R38" s="6" t="s">
        <v>283</v>
      </c>
      <c r="S38" s="6" t="s">
        <v>283</v>
      </c>
      <c r="T38" s="6" t="s">
        <v>283</v>
      </c>
      <c r="U38" s="6" t="s">
        <v>283</v>
      </c>
      <c r="V38" s="6" t="s">
        <v>283</v>
      </c>
      <c r="W38" s="6" t="s">
        <v>283</v>
      </c>
      <c r="X38" s="6" t="s">
        <v>283</v>
      </c>
      <c r="Y38" s="16" t="s">
        <v>283</v>
      </c>
      <c r="Z38" s="16" t="s">
        <v>283</v>
      </c>
      <c r="AA38" s="16" t="s">
        <v>283</v>
      </c>
      <c r="AB38" s="16" t="s">
        <v>283</v>
      </c>
      <c r="AC38" s="6" t="s">
        <v>283</v>
      </c>
      <c r="AD38" s="6" t="s">
        <v>283</v>
      </c>
      <c r="AE38" s="6" t="s">
        <v>283</v>
      </c>
      <c r="AF38" s="6" t="s">
        <v>283</v>
      </c>
      <c r="AG38" s="6" t="s">
        <v>283</v>
      </c>
      <c r="AH38" s="6" t="s">
        <v>283</v>
      </c>
      <c r="AI38" s="6" t="s">
        <v>283</v>
      </c>
      <c r="AJ38" s="21" t="s">
        <v>283</v>
      </c>
    </row>
    <row r="39" spans="2:36" x14ac:dyDescent="0.3">
      <c r="B39" s="6">
        <v>17</v>
      </c>
      <c r="C39" s="8" t="s">
        <v>44</v>
      </c>
      <c r="D39" s="6" t="s">
        <v>132</v>
      </c>
      <c r="E39" s="10" t="s">
        <v>125</v>
      </c>
      <c r="F39" s="6">
        <v>160</v>
      </c>
      <c r="G39" s="15">
        <v>26</v>
      </c>
      <c r="H39" s="6">
        <f>21+51+37+25</f>
        <v>134</v>
      </c>
      <c r="I39" s="6" t="s">
        <v>365</v>
      </c>
      <c r="J39" s="6" t="s">
        <v>283</v>
      </c>
      <c r="K39" s="28">
        <v>1.665</v>
      </c>
      <c r="L39" s="11"/>
      <c r="M39" s="12"/>
      <c r="N39" s="12"/>
      <c r="O39" s="12"/>
      <c r="P39" s="7">
        <v>69.2</v>
      </c>
      <c r="Q39" s="7">
        <v>76.099999999999994</v>
      </c>
      <c r="R39" s="7">
        <v>36</v>
      </c>
      <c r="S39" s="7">
        <v>92.7</v>
      </c>
      <c r="T39" s="7"/>
      <c r="U39" s="7"/>
      <c r="V39" s="7">
        <v>75</v>
      </c>
      <c r="W39" s="7">
        <v>0.76900000000000002</v>
      </c>
      <c r="X39" s="7"/>
      <c r="Y39" s="17">
        <f>$G39*$P39/100</f>
        <v>17.992000000000001</v>
      </c>
      <c r="Z39" s="17">
        <f>$H39-$AB39</f>
        <v>32.02600000000001</v>
      </c>
      <c r="AA39" s="17">
        <f>$G39-$Y39</f>
        <v>8.0079999999999991</v>
      </c>
      <c r="AB39" s="17">
        <f>$H39*$Q39/100</f>
        <v>101.97399999999999</v>
      </c>
      <c r="AC39" s="7">
        <f>$Y39/($Y39+$AA39)</f>
        <v>0.69200000000000006</v>
      </c>
      <c r="AD39" s="7">
        <f>$AB39/($Z39+$AB39)</f>
        <v>0.7609999999999999</v>
      </c>
      <c r="AE39" s="7">
        <f>$Y39/($Y39+$Z39)</f>
        <v>0.35971050421848128</v>
      </c>
      <c r="AF39" s="7">
        <f>$AB39/($AA39+$AB39)</f>
        <v>0.92718808532305286</v>
      </c>
      <c r="AG39" s="7">
        <f>$AC39/(1-$AD39)</f>
        <v>2.8953974895397478</v>
      </c>
      <c r="AH39" s="7">
        <f>(1-$AC39)/$AD39</f>
        <v>0.40473061760840995</v>
      </c>
      <c r="AI39" s="7">
        <f>($Y39+$AB39)/($Y39+$Z39+$AA39+$AB39)</f>
        <v>0.74978749999999994</v>
      </c>
      <c r="AJ39" s="20">
        <f>($Y39*$AB39)/($Z39*$AA39)</f>
        <v>7.1538879530511315</v>
      </c>
    </row>
    <row r="40" spans="2:36" x14ac:dyDescent="0.3">
      <c r="B40" s="6">
        <v>18</v>
      </c>
      <c r="C40" s="8" t="s">
        <v>45</v>
      </c>
      <c r="D40" s="6" t="s">
        <v>18</v>
      </c>
      <c r="E40" s="10" t="s">
        <v>123</v>
      </c>
      <c r="F40" s="6">
        <v>137</v>
      </c>
      <c r="G40" s="15" t="s">
        <v>283</v>
      </c>
      <c r="H40" s="15" t="s">
        <v>283</v>
      </c>
      <c r="I40" s="6" t="s">
        <v>365</v>
      </c>
      <c r="J40" s="6" t="s">
        <v>283</v>
      </c>
      <c r="K40" s="28" t="s">
        <v>283</v>
      </c>
      <c r="L40" s="31" t="s">
        <v>283</v>
      </c>
      <c r="M40" s="16" t="s">
        <v>283</v>
      </c>
      <c r="N40" s="16" t="s">
        <v>283</v>
      </c>
      <c r="O40" s="16" t="s">
        <v>283</v>
      </c>
      <c r="P40" s="6" t="s">
        <v>283</v>
      </c>
      <c r="Q40" s="6" t="s">
        <v>283</v>
      </c>
      <c r="R40" s="6" t="s">
        <v>283</v>
      </c>
      <c r="S40" s="6" t="s">
        <v>283</v>
      </c>
      <c r="T40" s="6" t="s">
        <v>283</v>
      </c>
      <c r="U40" s="6" t="s">
        <v>283</v>
      </c>
      <c r="V40" s="6" t="s">
        <v>283</v>
      </c>
      <c r="W40" s="6" t="s">
        <v>283</v>
      </c>
      <c r="X40" s="6" t="s">
        <v>283</v>
      </c>
      <c r="Y40" s="16" t="s">
        <v>283</v>
      </c>
      <c r="Z40" s="16" t="s">
        <v>283</v>
      </c>
      <c r="AA40" s="16" t="s">
        <v>283</v>
      </c>
      <c r="AB40" s="16" t="s">
        <v>283</v>
      </c>
      <c r="AC40" s="6" t="s">
        <v>283</v>
      </c>
      <c r="AD40" s="6" t="s">
        <v>283</v>
      </c>
      <c r="AE40" s="6" t="s">
        <v>283</v>
      </c>
      <c r="AF40" s="6" t="s">
        <v>283</v>
      </c>
      <c r="AG40" s="6" t="s">
        <v>283</v>
      </c>
      <c r="AH40" s="6" t="s">
        <v>283</v>
      </c>
      <c r="AI40" s="6" t="s">
        <v>283</v>
      </c>
      <c r="AJ40" s="21" t="s">
        <v>283</v>
      </c>
    </row>
    <row r="41" spans="2:36" x14ac:dyDescent="0.3">
      <c r="B41" s="6">
        <v>19</v>
      </c>
      <c r="C41" s="8" t="s">
        <v>47</v>
      </c>
      <c r="D41" s="6" t="s">
        <v>18</v>
      </c>
      <c r="E41" s="10" t="s">
        <v>123</v>
      </c>
      <c r="F41" s="6">
        <v>213</v>
      </c>
      <c r="G41" s="15">
        <v>23</v>
      </c>
      <c r="H41" s="6">
        <f>136+37+17</f>
        <v>190</v>
      </c>
      <c r="I41" s="6" t="s">
        <v>365</v>
      </c>
      <c r="J41" s="6" t="s">
        <v>283</v>
      </c>
      <c r="K41" s="28">
        <v>1.37</v>
      </c>
      <c r="L41" s="11"/>
      <c r="M41" s="12"/>
      <c r="N41" s="12"/>
      <c r="O41" s="12"/>
      <c r="P41" s="7">
        <v>69.599999999999994</v>
      </c>
      <c r="Q41" s="7">
        <v>83.7</v>
      </c>
      <c r="R41" s="7">
        <v>34</v>
      </c>
      <c r="S41" s="7">
        <v>95.8</v>
      </c>
      <c r="T41" s="7"/>
      <c r="U41" s="7"/>
      <c r="V41" s="7">
        <v>82.2</v>
      </c>
      <c r="W41" s="7">
        <v>0.83199999999999996</v>
      </c>
      <c r="X41" s="7"/>
      <c r="Y41" s="17">
        <f>$G41*$P41/100</f>
        <v>16.007999999999999</v>
      </c>
      <c r="Z41" s="17">
        <f>$H41-$AB41</f>
        <v>30.97</v>
      </c>
      <c r="AA41" s="17">
        <f>$G41-$Y41</f>
        <v>6.9920000000000009</v>
      </c>
      <c r="AB41" s="17">
        <f>$H41*$Q41/100</f>
        <v>159.03</v>
      </c>
      <c r="AC41" s="7">
        <f>$Y41/($Y41+$AA41)</f>
        <v>0.69599999999999995</v>
      </c>
      <c r="AD41" s="7">
        <f>$AB41/($Z41+$AB41)</f>
        <v>0.83699999999999997</v>
      </c>
      <c r="AE41" s="7">
        <f>$Y41/($Y41+$Z41)</f>
        <v>0.34075524713695776</v>
      </c>
      <c r="AF41" s="7">
        <f>$AB41/($AA41+$AB41)</f>
        <v>0.95788509956511791</v>
      </c>
      <c r="AG41" s="7">
        <f>$AC41/(1-$AD41)</f>
        <v>4.2699386503067469</v>
      </c>
      <c r="AH41" s="7">
        <f>(1-$AC41)/$AD41</f>
        <v>0.36320191158900844</v>
      </c>
      <c r="AI41" s="7">
        <f>($Y41+$AB41)/($Y41+$Z41+$AA41+$AB41)</f>
        <v>0.82177464788732402</v>
      </c>
      <c r="AJ41" s="20">
        <f>($Y41*$AB41)/($Z41*$AA41)</f>
        <v>11.756377139166934</v>
      </c>
    </row>
    <row r="42" spans="2:36" x14ac:dyDescent="0.3">
      <c r="B42" s="6">
        <v>20</v>
      </c>
      <c r="C42" s="8" t="s">
        <v>50</v>
      </c>
      <c r="D42" s="6" t="s">
        <v>130</v>
      </c>
      <c r="E42" s="10" t="s">
        <v>120</v>
      </c>
      <c r="F42" s="6">
        <v>122</v>
      </c>
      <c r="G42" s="6" t="s">
        <v>283</v>
      </c>
      <c r="H42" s="6" t="s">
        <v>283</v>
      </c>
      <c r="I42" s="6" t="s">
        <v>365</v>
      </c>
      <c r="J42" s="6" t="s">
        <v>283</v>
      </c>
      <c r="K42" s="28" t="s">
        <v>283</v>
      </c>
      <c r="L42" s="31" t="s">
        <v>283</v>
      </c>
      <c r="M42" s="16" t="s">
        <v>283</v>
      </c>
      <c r="N42" s="16" t="s">
        <v>283</v>
      </c>
      <c r="O42" s="16" t="s">
        <v>283</v>
      </c>
      <c r="P42" s="6" t="s">
        <v>283</v>
      </c>
      <c r="Q42" s="6" t="s">
        <v>283</v>
      </c>
      <c r="R42" s="6" t="s">
        <v>283</v>
      </c>
      <c r="S42" s="6" t="s">
        <v>283</v>
      </c>
      <c r="T42" s="6" t="s">
        <v>283</v>
      </c>
      <c r="U42" s="6" t="s">
        <v>283</v>
      </c>
      <c r="V42" s="6" t="s">
        <v>283</v>
      </c>
      <c r="W42" s="6" t="s">
        <v>283</v>
      </c>
      <c r="X42" s="6" t="s">
        <v>283</v>
      </c>
      <c r="Y42" s="16" t="s">
        <v>283</v>
      </c>
      <c r="Z42" s="16" t="s">
        <v>283</v>
      </c>
      <c r="AA42" s="16" t="s">
        <v>283</v>
      </c>
      <c r="AB42" s="16" t="s">
        <v>283</v>
      </c>
      <c r="AC42" s="6" t="s">
        <v>283</v>
      </c>
      <c r="AD42" s="6" t="s">
        <v>283</v>
      </c>
      <c r="AE42" s="6" t="s">
        <v>283</v>
      </c>
      <c r="AF42" s="6" t="s">
        <v>283</v>
      </c>
      <c r="AG42" s="6" t="s">
        <v>283</v>
      </c>
      <c r="AH42" s="6" t="s">
        <v>283</v>
      </c>
      <c r="AI42" s="6" t="s">
        <v>283</v>
      </c>
      <c r="AJ42" s="21" t="s">
        <v>283</v>
      </c>
    </row>
    <row r="43" spans="2:36" x14ac:dyDescent="0.3">
      <c r="B43" s="6"/>
      <c r="C43" s="8"/>
      <c r="D43" s="6"/>
      <c r="E43" s="10"/>
      <c r="F43" s="6">
        <v>122</v>
      </c>
      <c r="G43" s="6" t="s">
        <v>283</v>
      </c>
      <c r="H43" s="6" t="s">
        <v>283</v>
      </c>
      <c r="I43" s="6" t="s">
        <v>283</v>
      </c>
      <c r="J43" s="6" t="s">
        <v>135</v>
      </c>
      <c r="K43" s="28" t="s">
        <v>283</v>
      </c>
      <c r="L43" s="31" t="s">
        <v>283</v>
      </c>
      <c r="M43" s="16" t="s">
        <v>283</v>
      </c>
      <c r="N43" s="16" t="s">
        <v>283</v>
      </c>
      <c r="O43" s="16" t="s">
        <v>283</v>
      </c>
      <c r="P43" s="6" t="s">
        <v>283</v>
      </c>
      <c r="Q43" s="6" t="s">
        <v>283</v>
      </c>
      <c r="R43" s="6" t="s">
        <v>283</v>
      </c>
      <c r="S43" s="6" t="s">
        <v>283</v>
      </c>
      <c r="T43" s="6" t="s">
        <v>283</v>
      </c>
      <c r="U43" s="6" t="s">
        <v>283</v>
      </c>
      <c r="V43" s="6" t="s">
        <v>283</v>
      </c>
      <c r="W43" s="6" t="s">
        <v>283</v>
      </c>
      <c r="X43" s="6" t="s">
        <v>283</v>
      </c>
      <c r="Y43" s="16" t="s">
        <v>283</v>
      </c>
      <c r="Z43" s="16" t="s">
        <v>283</v>
      </c>
      <c r="AA43" s="16" t="s">
        <v>283</v>
      </c>
      <c r="AB43" s="16" t="s">
        <v>283</v>
      </c>
      <c r="AC43" s="6" t="s">
        <v>283</v>
      </c>
      <c r="AD43" s="6" t="s">
        <v>283</v>
      </c>
      <c r="AE43" s="6" t="s">
        <v>283</v>
      </c>
      <c r="AF43" s="6" t="s">
        <v>283</v>
      </c>
      <c r="AG43" s="6" t="s">
        <v>283</v>
      </c>
      <c r="AH43" s="6" t="s">
        <v>283</v>
      </c>
      <c r="AI43" s="6" t="s">
        <v>283</v>
      </c>
      <c r="AJ43" s="21" t="s">
        <v>283</v>
      </c>
    </row>
    <row r="44" spans="2:36" x14ac:dyDescent="0.3">
      <c r="B44" s="6">
        <v>21</v>
      </c>
      <c r="C44" s="8" t="s">
        <v>52</v>
      </c>
      <c r="D44" s="6" t="s">
        <v>132</v>
      </c>
      <c r="E44" s="10" t="s">
        <v>125</v>
      </c>
      <c r="F44" s="6">
        <v>151</v>
      </c>
      <c r="G44" s="15">
        <v>15</v>
      </c>
      <c r="H44" s="6">
        <f>8+86+42</f>
        <v>136</v>
      </c>
      <c r="I44" s="6" t="s">
        <v>365</v>
      </c>
      <c r="J44" s="6" t="s">
        <v>283</v>
      </c>
      <c r="K44" s="28">
        <v>0.7</v>
      </c>
      <c r="L44" s="11"/>
      <c r="M44" s="12"/>
      <c r="N44" s="12"/>
      <c r="O44" s="12"/>
      <c r="P44" s="7">
        <v>73.3</v>
      </c>
      <c r="Q44" s="7">
        <v>62.5</v>
      </c>
      <c r="R44" s="7">
        <v>66.099999999999994</v>
      </c>
      <c r="S44" s="7">
        <v>70.099999999999994</v>
      </c>
      <c r="T44" s="7"/>
      <c r="U44" s="7"/>
      <c r="V44" s="7">
        <v>67.900000000000006</v>
      </c>
      <c r="W44" s="7">
        <v>0.72099999999999997</v>
      </c>
      <c r="X44" s="7" t="s">
        <v>162</v>
      </c>
      <c r="Y44" s="17">
        <f t="shared" ref="Y44:Y54" si="0">$G44*$P44/100</f>
        <v>10.994999999999999</v>
      </c>
      <c r="Z44" s="17">
        <f t="shared" ref="Z44:Z54" si="1">$H44-$AB44</f>
        <v>51</v>
      </c>
      <c r="AA44" s="17">
        <f t="shared" ref="AA44:AA54" si="2">$G44-$Y44</f>
        <v>4.0050000000000008</v>
      </c>
      <c r="AB44" s="17">
        <f t="shared" ref="AB44:AB54" si="3">$H44*$Q44/100</f>
        <v>85</v>
      </c>
      <c r="AC44" s="7">
        <f t="shared" ref="AC44:AC54" si="4">$Y44/($Y44+$AA44)</f>
        <v>0.73299999999999998</v>
      </c>
      <c r="AD44" s="7">
        <f t="shared" ref="AD44:AD54" si="5">$AB44/($Z44+$AB44)</f>
        <v>0.625</v>
      </c>
      <c r="AE44" s="7">
        <f t="shared" ref="AE44:AE54" si="6">$Y44/($Y44+$Z44)</f>
        <v>0.1773530123397048</v>
      </c>
      <c r="AF44" s="7">
        <f t="shared" ref="AF44:AF54" si="7">$AB44/($AA44+$AB44)</f>
        <v>0.95500252794786811</v>
      </c>
      <c r="AG44" s="7">
        <f t="shared" ref="AG44:AG54" si="8">$AC44/(1-$AD44)</f>
        <v>1.9546666666666666</v>
      </c>
      <c r="AH44" s="7">
        <f t="shared" ref="AH44:AH54" si="9">(1-$AC44)/$AD44</f>
        <v>0.42720000000000002</v>
      </c>
      <c r="AI44" s="7">
        <f t="shared" ref="AI44:AI54" si="10">($Y44+$AB44)/($Y44+$Z44+$AA44+$AB44)</f>
        <v>0.63572847682119205</v>
      </c>
      <c r="AJ44" s="20">
        <f>($Y44*$AB44)/($Z44*$AA44)</f>
        <v>4.5755305867665399</v>
      </c>
    </row>
    <row r="45" spans="2:36" x14ac:dyDescent="0.3">
      <c r="B45" s="6"/>
      <c r="C45" s="8"/>
      <c r="D45" s="6"/>
      <c r="E45" s="10"/>
      <c r="F45" s="6">
        <v>151</v>
      </c>
      <c r="G45" s="15">
        <v>15</v>
      </c>
      <c r="H45" s="6">
        <f>8+86+42</f>
        <v>136</v>
      </c>
      <c r="I45" s="6" t="s">
        <v>283</v>
      </c>
      <c r="J45" s="6" t="s">
        <v>9</v>
      </c>
      <c r="K45" s="28" t="s">
        <v>405</v>
      </c>
      <c r="L45" s="11"/>
      <c r="M45" s="12"/>
      <c r="N45" s="12"/>
      <c r="O45" s="12"/>
      <c r="P45" s="7">
        <v>91.6</v>
      </c>
      <c r="Q45" s="7">
        <v>67.900000000000006</v>
      </c>
      <c r="R45" s="7">
        <v>74</v>
      </c>
      <c r="S45" s="7">
        <v>88.9</v>
      </c>
      <c r="T45" s="7"/>
      <c r="U45" s="7"/>
      <c r="V45" s="7">
        <v>79.7</v>
      </c>
      <c r="W45" s="7">
        <v>0.86699999999999999</v>
      </c>
      <c r="X45" s="7" t="s">
        <v>246</v>
      </c>
      <c r="Y45" s="17">
        <f t="shared" si="0"/>
        <v>13.74</v>
      </c>
      <c r="Z45" s="17">
        <f t="shared" si="1"/>
        <v>43.655999999999992</v>
      </c>
      <c r="AA45" s="17">
        <f t="shared" si="2"/>
        <v>1.2599999999999998</v>
      </c>
      <c r="AB45" s="17">
        <f t="shared" si="3"/>
        <v>92.344000000000008</v>
      </c>
      <c r="AC45" s="7">
        <f t="shared" si="4"/>
        <v>0.91600000000000004</v>
      </c>
      <c r="AD45" s="7">
        <f t="shared" si="5"/>
        <v>0.67900000000000005</v>
      </c>
      <c r="AE45" s="7">
        <f t="shared" si="6"/>
        <v>0.23938950449508681</v>
      </c>
      <c r="AF45" s="7">
        <f t="shared" si="7"/>
        <v>0.98653903679329935</v>
      </c>
      <c r="AG45" s="7">
        <f t="shared" si="8"/>
        <v>2.8535825545171347</v>
      </c>
      <c r="AH45" s="7">
        <f t="shared" si="9"/>
        <v>0.1237113402061855</v>
      </c>
      <c r="AI45" s="7">
        <f t="shared" si="10"/>
        <v>0.70254304635761589</v>
      </c>
      <c r="AJ45" s="20">
        <f>($Y45*$AB45)/($Z45*$AA45)</f>
        <v>23.066458982346845</v>
      </c>
    </row>
    <row r="46" spans="2:36" x14ac:dyDescent="0.3">
      <c r="B46" s="6"/>
      <c r="C46" s="8"/>
      <c r="D46" s="6"/>
      <c r="E46" s="10"/>
      <c r="F46" s="6">
        <v>151</v>
      </c>
      <c r="G46" s="15">
        <v>15</v>
      </c>
      <c r="H46" s="6">
        <f>8+86+42</f>
        <v>136</v>
      </c>
      <c r="I46" s="6" t="s">
        <v>283</v>
      </c>
      <c r="J46" s="6" t="s">
        <v>135</v>
      </c>
      <c r="K46" s="28">
        <v>10.5</v>
      </c>
      <c r="L46" s="11"/>
      <c r="M46" s="12"/>
      <c r="N46" s="12"/>
      <c r="O46" s="12"/>
      <c r="P46" s="7">
        <v>78.599999999999994</v>
      </c>
      <c r="Q46" s="7">
        <v>72.099999999999994</v>
      </c>
      <c r="R46" s="7">
        <v>64.099999999999994</v>
      </c>
      <c r="S46" s="7">
        <v>74.2</v>
      </c>
      <c r="T46" s="7"/>
      <c r="U46" s="7"/>
      <c r="V46" s="7">
        <v>67.7</v>
      </c>
      <c r="W46" s="7">
        <v>0.84</v>
      </c>
      <c r="X46" s="7" t="s">
        <v>247</v>
      </c>
      <c r="Y46" s="17">
        <f t="shared" si="0"/>
        <v>11.79</v>
      </c>
      <c r="Z46" s="17">
        <f t="shared" si="1"/>
        <v>37.944000000000017</v>
      </c>
      <c r="AA46" s="17">
        <f t="shared" si="2"/>
        <v>3.2100000000000009</v>
      </c>
      <c r="AB46" s="17">
        <f t="shared" si="3"/>
        <v>98.055999999999983</v>
      </c>
      <c r="AC46" s="7">
        <f t="shared" si="4"/>
        <v>0.78599999999999992</v>
      </c>
      <c r="AD46" s="7">
        <f t="shared" si="5"/>
        <v>0.72099999999999986</v>
      </c>
      <c r="AE46" s="7">
        <f t="shared" si="6"/>
        <v>0.23706116539992753</v>
      </c>
      <c r="AF46" s="7">
        <f t="shared" si="7"/>
        <v>0.96830130547271531</v>
      </c>
      <c r="AG46" s="7">
        <f t="shared" si="8"/>
        <v>2.8172043010752672</v>
      </c>
      <c r="AH46" s="7">
        <f t="shared" si="9"/>
        <v>0.29680998613037463</v>
      </c>
      <c r="AI46" s="7">
        <f t="shared" si="10"/>
        <v>0.72745695364238394</v>
      </c>
      <c r="AJ46" s="20">
        <f>($Y46*$AB46)/($Z46*$AA46)</f>
        <v>9.4916088835292847</v>
      </c>
    </row>
    <row r="47" spans="2:36" x14ac:dyDescent="0.3">
      <c r="B47" s="6">
        <v>22</v>
      </c>
      <c r="C47" s="8" t="s">
        <v>55</v>
      </c>
      <c r="D47" s="6" t="s">
        <v>132</v>
      </c>
      <c r="E47" s="10" t="s">
        <v>125</v>
      </c>
      <c r="F47" s="6">
        <v>554</v>
      </c>
      <c r="G47" s="15">
        <v>6</v>
      </c>
      <c r="H47" s="6">
        <f>292+206+50</f>
        <v>548</v>
      </c>
      <c r="I47" s="6" t="s">
        <v>365</v>
      </c>
      <c r="J47" s="6" t="s">
        <v>283</v>
      </c>
      <c r="K47" s="28">
        <v>0.96</v>
      </c>
      <c r="L47" s="11"/>
      <c r="M47" s="12"/>
      <c r="N47" s="12"/>
      <c r="O47" s="12"/>
      <c r="P47" s="7">
        <v>83.3</v>
      </c>
      <c r="Q47" s="7">
        <v>92.7</v>
      </c>
      <c r="R47" s="7"/>
      <c r="S47" s="7"/>
      <c r="T47" s="7"/>
      <c r="U47" s="7"/>
      <c r="V47" s="7"/>
      <c r="W47" s="7">
        <v>0.91400000000000003</v>
      </c>
      <c r="X47" s="7" t="s">
        <v>165</v>
      </c>
      <c r="Y47" s="17">
        <f t="shared" si="0"/>
        <v>4.9979999999999993</v>
      </c>
      <c r="Z47" s="17">
        <f t="shared" si="1"/>
        <v>40.004000000000019</v>
      </c>
      <c r="AA47" s="17">
        <f t="shared" si="2"/>
        <v>1.0020000000000007</v>
      </c>
      <c r="AB47" s="17">
        <f t="shared" si="3"/>
        <v>507.99599999999998</v>
      </c>
      <c r="AC47" s="7">
        <f t="shared" si="4"/>
        <v>0.83299999999999985</v>
      </c>
      <c r="AD47" s="7">
        <f t="shared" si="5"/>
        <v>0.92699999999999994</v>
      </c>
      <c r="AE47" s="7">
        <f t="shared" si="6"/>
        <v>0.11106173058975151</v>
      </c>
      <c r="AF47" s="7">
        <f t="shared" si="7"/>
        <v>0.99803142644961274</v>
      </c>
      <c r="AG47" s="7">
        <f t="shared" si="8"/>
        <v>11.410958904109577</v>
      </c>
      <c r="AH47" s="7">
        <f t="shared" si="9"/>
        <v>0.18015102481121917</v>
      </c>
      <c r="AI47" s="7">
        <f t="shared" si="10"/>
        <v>0.92598194945848378</v>
      </c>
      <c r="AJ47" s="20">
        <f>($Y47*$AB47)/($Z47*$AA47)</f>
        <v>63.34107128209326</v>
      </c>
    </row>
    <row r="48" spans="2:36" x14ac:dyDescent="0.3">
      <c r="B48" s="6">
        <v>23</v>
      </c>
      <c r="C48" s="8" t="s">
        <v>57</v>
      </c>
      <c r="D48" s="6" t="s">
        <v>18</v>
      </c>
      <c r="E48" s="10" t="s">
        <v>123</v>
      </c>
      <c r="F48" s="6">
        <v>165</v>
      </c>
      <c r="G48" s="15">
        <v>11</v>
      </c>
      <c r="H48" s="6">
        <f>12+71+24+47</f>
        <v>154</v>
      </c>
      <c r="I48" s="6" t="s">
        <v>365</v>
      </c>
      <c r="J48" s="6" t="s">
        <v>283</v>
      </c>
      <c r="K48" s="28">
        <v>1.26</v>
      </c>
      <c r="L48" s="11"/>
      <c r="M48" s="12"/>
      <c r="N48" s="12"/>
      <c r="O48" s="12"/>
      <c r="P48" s="7">
        <v>100</v>
      </c>
      <c r="Q48" s="7">
        <v>58.4</v>
      </c>
      <c r="R48" s="7">
        <v>14.6</v>
      </c>
      <c r="S48" s="7">
        <v>100</v>
      </c>
      <c r="T48" s="7"/>
      <c r="U48" s="7"/>
      <c r="V48" s="7"/>
      <c r="W48" s="7">
        <v>0.94099999999999995</v>
      </c>
      <c r="X48" s="7" t="s">
        <v>168</v>
      </c>
      <c r="Y48" s="17">
        <f t="shared" si="0"/>
        <v>11</v>
      </c>
      <c r="Z48" s="17">
        <f t="shared" si="1"/>
        <v>64.063999999999993</v>
      </c>
      <c r="AA48" s="17">
        <f t="shared" si="2"/>
        <v>0</v>
      </c>
      <c r="AB48" s="17">
        <f t="shared" si="3"/>
        <v>89.936000000000007</v>
      </c>
      <c r="AC48" s="7">
        <f t="shared" si="4"/>
        <v>1</v>
      </c>
      <c r="AD48" s="7">
        <f t="shared" si="5"/>
        <v>0.58400000000000007</v>
      </c>
      <c r="AE48" s="7">
        <f t="shared" si="6"/>
        <v>0.14654161781946073</v>
      </c>
      <c r="AF48" s="7">
        <f t="shared" si="7"/>
        <v>1</v>
      </c>
      <c r="AG48" s="7">
        <f t="shared" si="8"/>
        <v>2.4038461538461542</v>
      </c>
      <c r="AH48" s="7">
        <f t="shared" si="9"/>
        <v>0</v>
      </c>
      <c r="AI48" s="7">
        <f t="shared" si="10"/>
        <v>0.61173333333333335</v>
      </c>
      <c r="AJ48" s="21" t="s">
        <v>134</v>
      </c>
    </row>
    <row r="49" spans="2:36" x14ac:dyDescent="0.3">
      <c r="B49" s="6"/>
      <c r="C49" s="8"/>
      <c r="D49" s="6"/>
      <c r="E49" s="10"/>
      <c r="F49" s="6">
        <v>165</v>
      </c>
      <c r="G49" s="15">
        <v>11</v>
      </c>
      <c r="H49" s="6">
        <f>12+71+24+47</f>
        <v>154</v>
      </c>
      <c r="I49" s="6" t="s">
        <v>283</v>
      </c>
      <c r="J49" s="6" t="s">
        <v>248</v>
      </c>
      <c r="K49" s="28" t="s">
        <v>406</v>
      </c>
      <c r="L49" s="11"/>
      <c r="M49" s="12"/>
      <c r="N49" s="12"/>
      <c r="O49" s="12"/>
      <c r="P49" s="7">
        <v>100</v>
      </c>
      <c r="Q49" s="7">
        <v>77.099999999999994</v>
      </c>
      <c r="R49" s="7">
        <v>25</v>
      </c>
      <c r="S49" s="7">
        <v>100</v>
      </c>
      <c r="T49" s="7"/>
      <c r="U49" s="7"/>
      <c r="V49" s="7"/>
      <c r="W49" s="7">
        <v>0.91300000000000003</v>
      </c>
      <c r="X49" s="7" t="s">
        <v>253</v>
      </c>
      <c r="Y49" s="17">
        <f t="shared" si="0"/>
        <v>11</v>
      </c>
      <c r="Z49" s="17">
        <f t="shared" si="1"/>
        <v>35.266000000000005</v>
      </c>
      <c r="AA49" s="17">
        <f t="shared" si="2"/>
        <v>0</v>
      </c>
      <c r="AB49" s="17">
        <f t="shared" si="3"/>
        <v>118.73399999999999</v>
      </c>
      <c r="AC49" s="7">
        <f t="shared" si="4"/>
        <v>1</v>
      </c>
      <c r="AD49" s="7">
        <f t="shared" si="5"/>
        <v>0.77100000000000002</v>
      </c>
      <c r="AE49" s="7">
        <f t="shared" si="6"/>
        <v>0.2377555872563005</v>
      </c>
      <c r="AF49" s="7">
        <f t="shared" si="7"/>
        <v>1</v>
      </c>
      <c r="AG49" s="7">
        <f t="shared" si="8"/>
        <v>4.3668122270742362</v>
      </c>
      <c r="AH49" s="7">
        <f t="shared" si="9"/>
        <v>0</v>
      </c>
      <c r="AI49" s="7">
        <f t="shared" si="10"/>
        <v>0.78626666666666656</v>
      </c>
      <c r="AJ49" s="21" t="s">
        <v>255</v>
      </c>
    </row>
    <row r="50" spans="2:36" x14ac:dyDescent="0.3">
      <c r="B50" s="6"/>
      <c r="C50" s="8"/>
      <c r="D50" s="6"/>
      <c r="E50" s="10"/>
      <c r="F50" s="6">
        <v>165</v>
      </c>
      <c r="G50" s="15">
        <v>11</v>
      </c>
      <c r="H50" s="6">
        <f>12+71+24+47</f>
        <v>154</v>
      </c>
      <c r="I50" s="6" t="s">
        <v>283</v>
      </c>
      <c r="J50" s="6" t="s">
        <v>29</v>
      </c>
      <c r="K50" s="28" t="s">
        <v>407</v>
      </c>
      <c r="L50" s="11"/>
      <c r="M50" s="12"/>
      <c r="N50" s="12"/>
      <c r="O50" s="12"/>
      <c r="P50" s="7">
        <v>100</v>
      </c>
      <c r="Q50" s="7">
        <v>90</v>
      </c>
      <c r="R50" s="7">
        <v>50</v>
      </c>
      <c r="S50" s="7">
        <v>100</v>
      </c>
      <c r="T50" s="7"/>
      <c r="U50" s="7"/>
      <c r="V50" s="7"/>
      <c r="W50" s="7">
        <v>0.95699999999999996</v>
      </c>
      <c r="X50" s="7" t="s">
        <v>254</v>
      </c>
      <c r="Y50" s="17">
        <f t="shared" si="0"/>
        <v>11</v>
      </c>
      <c r="Z50" s="17">
        <f t="shared" si="1"/>
        <v>15.400000000000006</v>
      </c>
      <c r="AA50" s="17">
        <f t="shared" si="2"/>
        <v>0</v>
      </c>
      <c r="AB50" s="17">
        <f t="shared" si="3"/>
        <v>138.6</v>
      </c>
      <c r="AC50" s="7">
        <f t="shared" si="4"/>
        <v>1</v>
      </c>
      <c r="AD50" s="7">
        <f t="shared" si="5"/>
        <v>0.89999999999999991</v>
      </c>
      <c r="AE50" s="7">
        <f t="shared" si="6"/>
        <v>0.41666666666666657</v>
      </c>
      <c r="AF50" s="7">
        <f t="shared" si="7"/>
        <v>1</v>
      </c>
      <c r="AG50" s="7">
        <f t="shared" si="8"/>
        <v>9.9999999999999911</v>
      </c>
      <c r="AH50" s="7">
        <f t="shared" si="9"/>
        <v>0</v>
      </c>
      <c r="AI50" s="7">
        <f t="shared" si="10"/>
        <v>0.90666666666666662</v>
      </c>
      <c r="AJ50" s="21" t="s">
        <v>255</v>
      </c>
    </row>
    <row r="51" spans="2:36" x14ac:dyDescent="0.3">
      <c r="B51" s="6">
        <v>24</v>
      </c>
      <c r="C51" s="8" t="s">
        <v>60</v>
      </c>
      <c r="D51" s="6" t="s">
        <v>131</v>
      </c>
      <c r="E51" s="10" t="s">
        <v>127</v>
      </c>
      <c r="F51" s="6">
        <v>37</v>
      </c>
      <c r="G51" s="15">
        <v>11</v>
      </c>
      <c r="H51" s="6">
        <f>6+10+6+4</f>
        <v>26</v>
      </c>
      <c r="I51" s="6" t="s">
        <v>217</v>
      </c>
      <c r="J51" s="6" t="s">
        <v>283</v>
      </c>
      <c r="K51" s="28">
        <v>1.84</v>
      </c>
      <c r="L51" s="11"/>
      <c r="M51" s="12"/>
      <c r="N51" s="12"/>
      <c r="O51" s="12"/>
      <c r="P51" s="7">
        <v>91</v>
      </c>
      <c r="Q51" s="7">
        <v>96</v>
      </c>
      <c r="R51" s="7"/>
      <c r="S51" s="7"/>
      <c r="T51" s="7"/>
      <c r="U51" s="7"/>
      <c r="V51" s="7"/>
      <c r="W51" s="7">
        <v>0.93</v>
      </c>
      <c r="X51" s="7"/>
      <c r="Y51" s="17">
        <f t="shared" si="0"/>
        <v>10.01</v>
      </c>
      <c r="Z51" s="17">
        <f t="shared" si="1"/>
        <v>1.0399999999999991</v>
      </c>
      <c r="AA51" s="17">
        <f t="shared" si="2"/>
        <v>0.99000000000000021</v>
      </c>
      <c r="AB51" s="17">
        <f t="shared" si="3"/>
        <v>24.96</v>
      </c>
      <c r="AC51" s="7">
        <f t="shared" si="4"/>
        <v>0.91</v>
      </c>
      <c r="AD51" s="7">
        <f t="shared" si="5"/>
        <v>0.96000000000000008</v>
      </c>
      <c r="AE51" s="7">
        <f t="shared" si="6"/>
        <v>0.90588235294117658</v>
      </c>
      <c r="AF51" s="7">
        <f t="shared" si="7"/>
        <v>0.96184971098265892</v>
      </c>
      <c r="AG51" s="7">
        <f t="shared" si="8"/>
        <v>22.750000000000043</v>
      </c>
      <c r="AH51" s="7">
        <f t="shared" si="9"/>
        <v>9.3749999999999958E-2</v>
      </c>
      <c r="AI51" s="7">
        <f t="shared" si="10"/>
        <v>0.94513513513513514</v>
      </c>
      <c r="AJ51" s="20">
        <f>($Y51*$AB51)/($Z51*$AA51)</f>
        <v>242.66666666666683</v>
      </c>
    </row>
    <row r="52" spans="2:36" x14ac:dyDescent="0.3">
      <c r="B52" s="6">
        <v>25</v>
      </c>
      <c r="C52" s="8" t="s">
        <v>61</v>
      </c>
      <c r="D52" s="6" t="s">
        <v>130</v>
      </c>
      <c r="E52" s="10" t="s">
        <v>120</v>
      </c>
      <c r="F52" s="6">
        <v>229</v>
      </c>
      <c r="G52" s="15">
        <v>50</v>
      </c>
      <c r="H52" s="6">
        <f>23+62+56+38</f>
        <v>179</v>
      </c>
      <c r="I52" s="6" t="s">
        <v>365</v>
      </c>
      <c r="J52" s="6" t="s">
        <v>283</v>
      </c>
      <c r="K52" s="28">
        <v>2.67</v>
      </c>
      <c r="L52" s="11"/>
      <c r="M52" s="12"/>
      <c r="N52" s="12"/>
      <c r="O52" s="12"/>
      <c r="P52" s="7">
        <v>50</v>
      </c>
      <c r="Q52" s="7">
        <v>69.3</v>
      </c>
      <c r="R52" s="7">
        <v>31.3</v>
      </c>
      <c r="S52" s="7">
        <v>83.2</v>
      </c>
      <c r="T52" s="7"/>
      <c r="U52" s="7"/>
      <c r="V52" s="7">
        <v>65</v>
      </c>
      <c r="W52" s="7">
        <v>0.59299999999999997</v>
      </c>
      <c r="X52" s="7"/>
      <c r="Y52" s="17">
        <f t="shared" si="0"/>
        <v>25</v>
      </c>
      <c r="Z52" s="17">
        <f t="shared" si="1"/>
        <v>54.953000000000017</v>
      </c>
      <c r="AA52" s="17">
        <f t="shared" si="2"/>
        <v>25</v>
      </c>
      <c r="AB52" s="17">
        <f t="shared" si="3"/>
        <v>124.04699999999998</v>
      </c>
      <c r="AC52" s="7">
        <f t="shared" si="4"/>
        <v>0.5</v>
      </c>
      <c r="AD52" s="7">
        <f t="shared" si="5"/>
        <v>0.69299999999999995</v>
      </c>
      <c r="AE52" s="7">
        <f t="shared" si="6"/>
        <v>0.31268370167473386</v>
      </c>
      <c r="AF52" s="7">
        <f t="shared" si="7"/>
        <v>0.83226767395519541</v>
      </c>
      <c r="AG52" s="7">
        <f t="shared" si="8"/>
        <v>1.6286644951140063</v>
      </c>
      <c r="AH52" s="7">
        <f t="shared" si="9"/>
        <v>0.72150072150072153</v>
      </c>
      <c r="AI52" s="7">
        <f t="shared" si="10"/>
        <v>0.65086026200873348</v>
      </c>
      <c r="AJ52" s="20">
        <f>($Y52*$AB52)/($Z52*$AA52)</f>
        <v>2.2573289902280118</v>
      </c>
    </row>
    <row r="53" spans="2:36" x14ac:dyDescent="0.3">
      <c r="B53" s="6">
        <v>26</v>
      </c>
      <c r="C53" s="8" t="s">
        <v>64</v>
      </c>
      <c r="D53" s="6" t="s">
        <v>132</v>
      </c>
      <c r="E53" s="10" t="s">
        <v>125</v>
      </c>
      <c r="F53" s="6">
        <v>112</v>
      </c>
      <c r="G53" s="15">
        <v>22</v>
      </c>
      <c r="H53" s="6">
        <f>4+36+26+24</f>
        <v>90</v>
      </c>
      <c r="I53" s="6" t="s">
        <v>365</v>
      </c>
      <c r="J53" s="6" t="s">
        <v>283</v>
      </c>
      <c r="K53" s="28">
        <v>1.26</v>
      </c>
      <c r="L53" s="11"/>
      <c r="M53" s="12"/>
      <c r="N53" s="12"/>
      <c r="O53" s="12"/>
      <c r="P53" s="7">
        <v>68</v>
      </c>
      <c r="Q53" s="7">
        <v>69</v>
      </c>
      <c r="R53" s="7"/>
      <c r="S53" s="7"/>
      <c r="T53" s="7"/>
      <c r="U53" s="7"/>
      <c r="V53" s="7"/>
      <c r="W53" s="7">
        <v>0.68899999999999995</v>
      </c>
      <c r="X53" s="7"/>
      <c r="Y53" s="17">
        <f t="shared" si="0"/>
        <v>14.96</v>
      </c>
      <c r="Z53" s="17">
        <f t="shared" si="1"/>
        <v>27.9</v>
      </c>
      <c r="AA53" s="17">
        <f t="shared" si="2"/>
        <v>7.0399999999999991</v>
      </c>
      <c r="AB53" s="17">
        <f t="shared" si="3"/>
        <v>62.1</v>
      </c>
      <c r="AC53" s="7">
        <f t="shared" si="4"/>
        <v>0.68</v>
      </c>
      <c r="AD53" s="7">
        <f t="shared" si="5"/>
        <v>0.69000000000000006</v>
      </c>
      <c r="AE53" s="7">
        <f t="shared" si="6"/>
        <v>0.34904339710685955</v>
      </c>
      <c r="AF53" s="7">
        <f t="shared" si="7"/>
        <v>0.89817761064506796</v>
      </c>
      <c r="AG53" s="7">
        <f t="shared" si="8"/>
        <v>2.1935483870967749</v>
      </c>
      <c r="AH53" s="7">
        <f t="shared" si="9"/>
        <v>0.46376811594202888</v>
      </c>
      <c r="AI53" s="7">
        <f t="shared" si="10"/>
        <v>0.68803571428571431</v>
      </c>
      <c r="AJ53" s="20">
        <f>($Y53*$AB53)/($Z53*$AA53)</f>
        <v>4.7298387096774208</v>
      </c>
    </row>
    <row r="54" spans="2:36" x14ac:dyDescent="0.3">
      <c r="B54" s="6">
        <v>27</v>
      </c>
      <c r="C54" s="8" t="s">
        <v>66</v>
      </c>
      <c r="D54" s="6" t="s">
        <v>132</v>
      </c>
      <c r="E54" s="10" t="s">
        <v>125</v>
      </c>
      <c r="F54" s="6">
        <v>189</v>
      </c>
      <c r="G54" s="15">
        <v>16</v>
      </c>
      <c r="H54" s="6">
        <f>28+37+97+11</f>
        <v>173</v>
      </c>
      <c r="I54" s="6" t="s">
        <v>365</v>
      </c>
      <c r="J54" s="6" t="s">
        <v>283</v>
      </c>
      <c r="K54" s="28">
        <v>1.9</v>
      </c>
      <c r="L54" s="11"/>
      <c r="M54" s="12"/>
      <c r="N54" s="12"/>
      <c r="O54" s="12"/>
      <c r="P54" s="7">
        <v>87.5</v>
      </c>
      <c r="Q54" s="7">
        <v>80.400000000000006</v>
      </c>
      <c r="R54" s="7"/>
      <c r="S54" s="7"/>
      <c r="T54" s="7"/>
      <c r="U54" s="7"/>
      <c r="V54" s="7"/>
      <c r="W54" s="7">
        <v>0.87</v>
      </c>
      <c r="X54" s="7"/>
      <c r="Y54" s="17">
        <f t="shared" si="0"/>
        <v>14</v>
      </c>
      <c r="Z54" s="17">
        <f t="shared" si="1"/>
        <v>33.907999999999987</v>
      </c>
      <c r="AA54" s="17">
        <f t="shared" si="2"/>
        <v>2</v>
      </c>
      <c r="AB54" s="17">
        <f t="shared" si="3"/>
        <v>139.09200000000001</v>
      </c>
      <c r="AC54" s="7">
        <f t="shared" si="4"/>
        <v>0.875</v>
      </c>
      <c r="AD54" s="7">
        <f t="shared" si="5"/>
        <v>0.80400000000000005</v>
      </c>
      <c r="AE54" s="7">
        <f t="shared" si="6"/>
        <v>0.2922267679719463</v>
      </c>
      <c r="AF54" s="7">
        <f t="shared" si="7"/>
        <v>0.98582485186970203</v>
      </c>
      <c r="AG54" s="7">
        <f t="shared" si="8"/>
        <v>4.4642857142857153</v>
      </c>
      <c r="AH54" s="7">
        <f t="shared" si="9"/>
        <v>0.15547263681592038</v>
      </c>
      <c r="AI54" s="7">
        <f t="shared" si="10"/>
        <v>0.81001058201058207</v>
      </c>
      <c r="AJ54" s="20">
        <f>($Y54*$AB54)/($Z54*$AA54)</f>
        <v>28.71428571428573</v>
      </c>
    </row>
    <row r="55" spans="2:36" x14ac:dyDescent="0.3">
      <c r="B55" s="6">
        <v>28</v>
      </c>
      <c r="C55" s="8" t="s">
        <v>67</v>
      </c>
      <c r="D55" s="6" t="s">
        <v>18</v>
      </c>
      <c r="E55" s="10" t="s">
        <v>123</v>
      </c>
      <c r="F55" s="6">
        <v>116</v>
      </c>
      <c r="G55" s="6" t="s">
        <v>283</v>
      </c>
      <c r="H55" s="6" t="s">
        <v>283</v>
      </c>
      <c r="I55" s="6" t="s">
        <v>365</v>
      </c>
      <c r="J55" s="6" t="s">
        <v>283</v>
      </c>
      <c r="K55" s="28" t="s">
        <v>283</v>
      </c>
      <c r="L55" s="31" t="s">
        <v>283</v>
      </c>
      <c r="M55" s="16" t="s">
        <v>283</v>
      </c>
      <c r="N55" s="16" t="s">
        <v>283</v>
      </c>
      <c r="O55" s="16" t="s">
        <v>283</v>
      </c>
      <c r="P55" s="6" t="s">
        <v>283</v>
      </c>
      <c r="Q55" s="6" t="s">
        <v>283</v>
      </c>
      <c r="R55" s="6" t="s">
        <v>283</v>
      </c>
      <c r="S55" s="6" t="s">
        <v>283</v>
      </c>
      <c r="T55" s="6" t="s">
        <v>283</v>
      </c>
      <c r="U55" s="6" t="s">
        <v>283</v>
      </c>
      <c r="V55" s="6" t="s">
        <v>283</v>
      </c>
      <c r="W55" s="6" t="s">
        <v>283</v>
      </c>
      <c r="X55" s="6" t="s">
        <v>283</v>
      </c>
      <c r="Y55" s="16" t="s">
        <v>283</v>
      </c>
      <c r="Z55" s="16" t="s">
        <v>283</v>
      </c>
      <c r="AA55" s="16" t="s">
        <v>283</v>
      </c>
      <c r="AB55" s="16" t="s">
        <v>283</v>
      </c>
      <c r="AC55" s="6" t="s">
        <v>283</v>
      </c>
      <c r="AD55" s="6" t="s">
        <v>283</v>
      </c>
      <c r="AE55" s="6" t="s">
        <v>283</v>
      </c>
      <c r="AF55" s="6" t="s">
        <v>283</v>
      </c>
      <c r="AG55" s="6" t="s">
        <v>283</v>
      </c>
      <c r="AH55" s="6" t="s">
        <v>283</v>
      </c>
      <c r="AI55" s="6" t="s">
        <v>283</v>
      </c>
      <c r="AJ55" s="21" t="s">
        <v>283</v>
      </c>
    </row>
    <row r="56" spans="2:36" x14ac:dyDescent="0.3">
      <c r="B56" s="6">
        <v>29</v>
      </c>
      <c r="C56" s="8" t="s">
        <v>69</v>
      </c>
      <c r="D56" s="6" t="s">
        <v>18</v>
      </c>
      <c r="E56" s="10" t="s">
        <v>123</v>
      </c>
      <c r="F56" s="6">
        <v>220</v>
      </c>
      <c r="G56" s="15">
        <v>7</v>
      </c>
      <c r="H56" s="6">
        <f>71+90+16+36</f>
        <v>213</v>
      </c>
      <c r="I56" s="6" t="s">
        <v>365</v>
      </c>
      <c r="J56" s="6" t="s">
        <v>283</v>
      </c>
      <c r="K56" s="28">
        <v>0.7</v>
      </c>
      <c r="L56" s="11"/>
      <c r="M56" s="12"/>
      <c r="N56" s="12"/>
      <c r="O56" s="12"/>
      <c r="P56" s="7">
        <v>85.7</v>
      </c>
      <c r="Q56" s="7">
        <v>72.8</v>
      </c>
      <c r="R56" s="7">
        <v>9.4</v>
      </c>
      <c r="S56" s="7">
        <v>99.4</v>
      </c>
      <c r="T56" s="7"/>
      <c r="U56" s="7"/>
      <c r="V56" s="7"/>
      <c r="W56" s="7">
        <v>0.84</v>
      </c>
      <c r="X56" s="7" t="s">
        <v>169</v>
      </c>
      <c r="Y56" s="17">
        <f>$G56*$P56/100</f>
        <v>5.9989999999999997</v>
      </c>
      <c r="Z56" s="17">
        <f>$H56-$AB56</f>
        <v>57.936000000000007</v>
      </c>
      <c r="AA56" s="17">
        <f>$G56-$Y56</f>
        <v>1.0010000000000003</v>
      </c>
      <c r="AB56" s="17">
        <f>$H56*$Q56/100</f>
        <v>155.06399999999999</v>
      </c>
      <c r="AC56" s="7">
        <f>$Y56/($Y56+$AA56)</f>
        <v>0.85699999999999998</v>
      </c>
      <c r="AD56" s="7">
        <f>$AB56/($Z56+$AB56)</f>
        <v>0.72799999999999998</v>
      </c>
      <c r="AE56" s="7">
        <f>$Y56/($Y56+$Z56)</f>
        <v>9.3829670759364964E-2</v>
      </c>
      <c r="AF56" s="7">
        <f>$AB56/($AA56+$AB56)</f>
        <v>0.99358600583090373</v>
      </c>
      <c r="AG56" s="7">
        <f>$AC56/(1-$AD56)</f>
        <v>3.1507352941176467</v>
      </c>
      <c r="AH56" s="7">
        <f>(1-$AC56)/$AD56</f>
        <v>0.19642857142857145</v>
      </c>
      <c r="AI56" s="7">
        <f>($Y56+$AB56)/($Y56+$Z56+$AA56+$AB56)</f>
        <v>0.7321045454545454</v>
      </c>
      <c r="AJ56" s="20">
        <f>($Y56*$AB56)/($Z56*$AA56)</f>
        <v>16.04010695187165</v>
      </c>
    </row>
    <row r="57" spans="2:36" x14ac:dyDescent="0.3">
      <c r="B57" s="6">
        <v>30</v>
      </c>
      <c r="C57" s="8" t="s">
        <v>72</v>
      </c>
      <c r="D57" s="6" t="s">
        <v>131</v>
      </c>
      <c r="E57" s="10"/>
      <c r="F57" s="6" t="s">
        <v>283</v>
      </c>
      <c r="G57" s="15" t="s">
        <v>283</v>
      </c>
      <c r="H57" s="6" t="s">
        <v>283</v>
      </c>
      <c r="I57" s="6" t="s">
        <v>283</v>
      </c>
      <c r="J57" s="6" t="s">
        <v>283</v>
      </c>
      <c r="K57" s="28" t="s">
        <v>283</v>
      </c>
      <c r="L57" s="31" t="s">
        <v>283</v>
      </c>
      <c r="M57" s="16" t="s">
        <v>283</v>
      </c>
      <c r="N57" s="16" t="s">
        <v>283</v>
      </c>
      <c r="O57" s="16" t="s">
        <v>283</v>
      </c>
      <c r="P57" s="6" t="s">
        <v>283</v>
      </c>
      <c r="Q57" s="6" t="s">
        <v>283</v>
      </c>
      <c r="R57" s="6" t="s">
        <v>283</v>
      </c>
      <c r="S57" s="6" t="s">
        <v>283</v>
      </c>
      <c r="T57" s="6" t="s">
        <v>283</v>
      </c>
      <c r="U57" s="6" t="s">
        <v>283</v>
      </c>
      <c r="V57" s="6" t="s">
        <v>283</v>
      </c>
      <c r="W57" s="6" t="s">
        <v>283</v>
      </c>
      <c r="X57" s="6" t="s">
        <v>283</v>
      </c>
      <c r="Y57" s="36" t="s">
        <v>283</v>
      </c>
      <c r="Z57" s="36" t="s">
        <v>283</v>
      </c>
      <c r="AA57" s="36" t="s">
        <v>283</v>
      </c>
      <c r="AB57" s="36" t="s">
        <v>283</v>
      </c>
      <c r="AC57" s="6" t="s">
        <v>283</v>
      </c>
      <c r="AD57" s="6" t="s">
        <v>283</v>
      </c>
      <c r="AE57" s="6" t="s">
        <v>283</v>
      </c>
      <c r="AF57" s="6" t="s">
        <v>283</v>
      </c>
      <c r="AG57" s="6" t="s">
        <v>283</v>
      </c>
      <c r="AH57" s="6" t="s">
        <v>283</v>
      </c>
      <c r="AI57" s="6" t="s">
        <v>283</v>
      </c>
      <c r="AJ57" s="21" t="s">
        <v>283</v>
      </c>
    </row>
    <row r="58" spans="2:36" x14ac:dyDescent="0.3">
      <c r="B58" s="6"/>
      <c r="C58" s="8"/>
      <c r="D58" s="6" t="s">
        <v>132</v>
      </c>
      <c r="E58" s="10" t="s">
        <v>33</v>
      </c>
      <c r="F58" s="6">
        <v>90</v>
      </c>
      <c r="G58" s="15" t="s">
        <v>283</v>
      </c>
      <c r="H58" s="6" t="s">
        <v>283</v>
      </c>
      <c r="I58" s="6" t="s">
        <v>365</v>
      </c>
      <c r="J58" s="6" t="s">
        <v>283</v>
      </c>
      <c r="K58" s="28" t="s">
        <v>283</v>
      </c>
      <c r="L58" s="31" t="s">
        <v>283</v>
      </c>
      <c r="M58" s="16" t="s">
        <v>283</v>
      </c>
      <c r="N58" s="16" t="s">
        <v>283</v>
      </c>
      <c r="O58" s="16" t="s">
        <v>283</v>
      </c>
      <c r="P58" s="6" t="s">
        <v>283</v>
      </c>
      <c r="Q58" s="6" t="s">
        <v>283</v>
      </c>
      <c r="R58" s="6" t="s">
        <v>283</v>
      </c>
      <c r="S58" s="6" t="s">
        <v>283</v>
      </c>
      <c r="T58" s="6" t="s">
        <v>283</v>
      </c>
      <c r="U58" s="6" t="s">
        <v>283</v>
      </c>
      <c r="V58" s="6" t="s">
        <v>283</v>
      </c>
      <c r="W58" s="6" t="s">
        <v>283</v>
      </c>
      <c r="X58" s="6" t="s">
        <v>283</v>
      </c>
      <c r="Y58" s="16" t="s">
        <v>283</v>
      </c>
      <c r="Z58" s="16" t="s">
        <v>283</v>
      </c>
      <c r="AA58" s="16" t="s">
        <v>283</v>
      </c>
      <c r="AB58" s="16" t="s">
        <v>283</v>
      </c>
      <c r="AC58" s="6" t="s">
        <v>283</v>
      </c>
      <c r="AD58" s="6" t="s">
        <v>283</v>
      </c>
      <c r="AE58" s="6" t="s">
        <v>283</v>
      </c>
      <c r="AF58" s="6" t="s">
        <v>283</v>
      </c>
      <c r="AG58" s="6" t="s">
        <v>283</v>
      </c>
      <c r="AH58" s="6" t="s">
        <v>283</v>
      </c>
      <c r="AI58" s="6" t="s">
        <v>283</v>
      </c>
      <c r="AJ58" s="21" t="s">
        <v>283</v>
      </c>
    </row>
    <row r="59" spans="2:36" x14ac:dyDescent="0.3">
      <c r="B59" s="6"/>
      <c r="C59" s="8"/>
      <c r="D59" s="6" t="s">
        <v>130</v>
      </c>
      <c r="E59" s="10" t="s">
        <v>6</v>
      </c>
      <c r="F59" s="6">
        <v>108</v>
      </c>
      <c r="G59" s="15" t="s">
        <v>283</v>
      </c>
      <c r="H59" s="6" t="s">
        <v>283</v>
      </c>
      <c r="I59" s="6" t="s">
        <v>365</v>
      </c>
      <c r="J59" s="6" t="s">
        <v>283</v>
      </c>
      <c r="K59" s="28" t="s">
        <v>283</v>
      </c>
      <c r="L59" s="31" t="s">
        <v>283</v>
      </c>
      <c r="M59" s="16" t="s">
        <v>283</v>
      </c>
      <c r="N59" s="16" t="s">
        <v>283</v>
      </c>
      <c r="O59" s="16" t="s">
        <v>283</v>
      </c>
      <c r="P59" s="6" t="s">
        <v>283</v>
      </c>
      <c r="Q59" s="6" t="s">
        <v>283</v>
      </c>
      <c r="R59" s="6" t="s">
        <v>283</v>
      </c>
      <c r="S59" s="6" t="s">
        <v>283</v>
      </c>
      <c r="T59" s="6" t="s">
        <v>283</v>
      </c>
      <c r="U59" s="6" t="s">
        <v>283</v>
      </c>
      <c r="V59" s="6" t="s">
        <v>283</v>
      </c>
      <c r="W59" s="6" t="s">
        <v>283</v>
      </c>
      <c r="X59" s="6" t="s">
        <v>283</v>
      </c>
      <c r="Y59" s="16" t="s">
        <v>283</v>
      </c>
      <c r="Z59" s="16" t="s">
        <v>283</v>
      </c>
      <c r="AA59" s="16" t="s">
        <v>283</v>
      </c>
      <c r="AB59" s="16" t="s">
        <v>283</v>
      </c>
      <c r="AC59" s="6" t="s">
        <v>283</v>
      </c>
      <c r="AD59" s="6" t="s">
        <v>283</v>
      </c>
      <c r="AE59" s="6" t="s">
        <v>283</v>
      </c>
      <c r="AF59" s="6" t="s">
        <v>283</v>
      </c>
      <c r="AG59" s="6" t="s">
        <v>283</v>
      </c>
      <c r="AH59" s="6" t="s">
        <v>283</v>
      </c>
      <c r="AI59" s="6" t="s">
        <v>283</v>
      </c>
      <c r="AJ59" s="21" t="s">
        <v>283</v>
      </c>
    </row>
    <row r="60" spans="2:36" x14ac:dyDescent="0.3">
      <c r="B60" s="6">
        <v>31</v>
      </c>
      <c r="C60" s="8" t="s">
        <v>74</v>
      </c>
      <c r="D60" s="6" t="s">
        <v>130</v>
      </c>
      <c r="E60" s="10" t="s">
        <v>379</v>
      </c>
      <c r="F60" s="6">
        <v>210</v>
      </c>
      <c r="G60" s="15" t="s">
        <v>283</v>
      </c>
      <c r="H60" s="6" t="s">
        <v>283</v>
      </c>
      <c r="I60" s="6" t="s">
        <v>365</v>
      </c>
      <c r="J60" s="6" t="s">
        <v>283</v>
      </c>
      <c r="K60" s="28" t="s">
        <v>283</v>
      </c>
      <c r="L60" s="31" t="s">
        <v>283</v>
      </c>
      <c r="M60" s="16" t="s">
        <v>283</v>
      </c>
      <c r="N60" s="16" t="s">
        <v>283</v>
      </c>
      <c r="O60" s="16" t="s">
        <v>283</v>
      </c>
      <c r="P60" s="6" t="s">
        <v>283</v>
      </c>
      <c r="Q60" s="6" t="s">
        <v>283</v>
      </c>
      <c r="R60" s="6" t="s">
        <v>283</v>
      </c>
      <c r="S60" s="6" t="s">
        <v>283</v>
      </c>
      <c r="T60" s="6" t="s">
        <v>283</v>
      </c>
      <c r="U60" s="6" t="s">
        <v>283</v>
      </c>
      <c r="V60" s="6" t="s">
        <v>283</v>
      </c>
      <c r="W60" s="6" t="s">
        <v>283</v>
      </c>
      <c r="X60" s="6" t="s">
        <v>283</v>
      </c>
      <c r="Y60" s="16" t="s">
        <v>283</v>
      </c>
      <c r="Z60" s="16" t="s">
        <v>283</v>
      </c>
      <c r="AA60" s="16" t="s">
        <v>283</v>
      </c>
      <c r="AB60" s="16" t="s">
        <v>283</v>
      </c>
      <c r="AC60" s="6" t="s">
        <v>283</v>
      </c>
      <c r="AD60" s="6" t="s">
        <v>283</v>
      </c>
      <c r="AE60" s="6" t="s">
        <v>283</v>
      </c>
      <c r="AF60" s="6" t="s">
        <v>283</v>
      </c>
      <c r="AG60" s="6" t="s">
        <v>283</v>
      </c>
      <c r="AH60" s="6" t="s">
        <v>283</v>
      </c>
      <c r="AI60" s="6" t="s">
        <v>283</v>
      </c>
      <c r="AJ60" s="21" t="s">
        <v>283</v>
      </c>
    </row>
    <row r="61" spans="2:36" x14ac:dyDescent="0.3">
      <c r="B61" s="6"/>
      <c r="C61" s="8"/>
      <c r="D61" s="6"/>
      <c r="E61" s="10" t="s">
        <v>380</v>
      </c>
      <c r="F61" s="6">
        <v>176</v>
      </c>
      <c r="G61" s="15" t="s">
        <v>283</v>
      </c>
      <c r="H61" s="6" t="s">
        <v>283</v>
      </c>
      <c r="I61" s="6" t="s">
        <v>365</v>
      </c>
      <c r="J61" s="6" t="s">
        <v>283</v>
      </c>
      <c r="K61" s="28" t="s">
        <v>283</v>
      </c>
      <c r="L61" s="31" t="s">
        <v>283</v>
      </c>
      <c r="M61" s="16" t="s">
        <v>283</v>
      </c>
      <c r="N61" s="16" t="s">
        <v>283</v>
      </c>
      <c r="O61" s="16" t="s">
        <v>283</v>
      </c>
      <c r="P61" s="6" t="s">
        <v>283</v>
      </c>
      <c r="Q61" s="6" t="s">
        <v>283</v>
      </c>
      <c r="R61" s="6" t="s">
        <v>283</v>
      </c>
      <c r="S61" s="6" t="s">
        <v>283</v>
      </c>
      <c r="T61" s="6" t="s">
        <v>283</v>
      </c>
      <c r="U61" s="6" t="s">
        <v>283</v>
      </c>
      <c r="V61" s="6" t="s">
        <v>283</v>
      </c>
      <c r="W61" s="6" t="s">
        <v>283</v>
      </c>
      <c r="X61" s="6" t="s">
        <v>283</v>
      </c>
      <c r="Y61" s="16" t="s">
        <v>283</v>
      </c>
      <c r="Z61" s="16" t="s">
        <v>283</v>
      </c>
      <c r="AA61" s="16" t="s">
        <v>283</v>
      </c>
      <c r="AB61" s="16" t="s">
        <v>283</v>
      </c>
      <c r="AC61" s="6" t="s">
        <v>283</v>
      </c>
      <c r="AD61" s="6" t="s">
        <v>283</v>
      </c>
      <c r="AE61" s="6" t="s">
        <v>283</v>
      </c>
      <c r="AF61" s="6" t="s">
        <v>283</v>
      </c>
      <c r="AG61" s="6" t="s">
        <v>283</v>
      </c>
      <c r="AH61" s="6" t="s">
        <v>283</v>
      </c>
      <c r="AI61" s="6" t="s">
        <v>283</v>
      </c>
      <c r="AJ61" s="21" t="s">
        <v>283</v>
      </c>
    </row>
    <row r="62" spans="2:36" x14ac:dyDescent="0.3">
      <c r="B62" s="6">
        <v>32</v>
      </c>
      <c r="C62" s="8" t="s">
        <v>76</v>
      </c>
      <c r="D62" s="6" t="s">
        <v>132</v>
      </c>
      <c r="E62" s="10" t="s">
        <v>125</v>
      </c>
      <c r="F62" s="6">
        <v>70</v>
      </c>
      <c r="G62" s="15" t="s">
        <v>283</v>
      </c>
      <c r="H62" s="6" t="s">
        <v>283</v>
      </c>
      <c r="I62" s="6" t="s">
        <v>365</v>
      </c>
      <c r="J62" s="6" t="s">
        <v>283</v>
      </c>
      <c r="K62" s="28" t="s">
        <v>283</v>
      </c>
      <c r="L62" s="31" t="s">
        <v>283</v>
      </c>
      <c r="M62" s="16" t="s">
        <v>283</v>
      </c>
      <c r="N62" s="16" t="s">
        <v>283</v>
      </c>
      <c r="O62" s="16" t="s">
        <v>283</v>
      </c>
      <c r="P62" s="6" t="s">
        <v>283</v>
      </c>
      <c r="Q62" s="6" t="s">
        <v>283</v>
      </c>
      <c r="R62" s="6" t="s">
        <v>283</v>
      </c>
      <c r="S62" s="6" t="s">
        <v>283</v>
      </c>
      <c r="T62" s="6" t="s">
        <v>283</v>
      </c>
      <c r="U62" s="6" t="s">
        <v>283</v>
      </c>
      <c r="V62" s="6" t="s">
        <v>283</v>
      </c>
      <c r="W62" s="6" t="s">
        <v>283</v>
      </c>
      <c r="X62" s="6" t="s">
        <v>283</v>
      </c>
      <c r="Y62" s="16" t="s">
        <v>283</v>
      </c>
      <c r="Z62" s="16" t="s">
        <v>283</v>
      </c>
      <c r="AA62" s="16" t="s">
        <v>283</v>
      </c>
      <c r="AB62" s="16" t="s">
        <v>283</v>
      </c>
      <c r="AC62" s="6" t="s">
        <v>283</v>
      </c>
      <c r="AD62" s="6" t="s">
        <v>283</v>
      </c>
      <c r="AE62" s="6" t="s">
        <v>283</v>
      </c>
      <c r="AF62" s="6" t="s">
        <v>283</v>
      </c>
      <c r="AG62" s="6" t="s">
        <v>283</v>
      </c>
      <c r="AH62" s="6" t="s">
        <v>283</v>
      </c>
      <c r="AI62" s="6" t="s">
        <v>283</v>
      </c>
      <c r="AJ62" s="21" t="s">
        <v>283</v>
      </c>
    </row>
    <row r="63" spans="2:36" x14ac:dyDescent="0.3">
      <c r="B63" s="6">
        <v>33</v>
      </c>
      <c r="C63" s="8" t="s">
        <v>79</v>
      </c>
      <c r="D63" s="6" t="s">
        <v>131</v>
      </c>
      <c r="E63" s="10" t="s">
        <v>191</v>
      </c>
      <c r="F63" s="6">
        <v>64</v>
      </c>
      <c r="G63" s="15">
        <v>51</v>
      </c>
      <c r="H63" s="6">
        <v>13</v>
      </c>
      <c r="I63" s="6" t="s">
        <v>365</v>
      </c>
      <c r="J63" s="6" t="s">
        <v>283</v>
      </c>
      <c r="K63" s="28">
        <v>3.53</v>
      </c>
      <c r="L63" s="11"/>
      <c r="M63" s="12"/>
      <c r="N63" s="12"/>
      <c r="O63" s="12"/>
      <c r="P63" s="7">
        <v>94.1</v>
      </c>
      <c r="Q63" s="7">
        <v>92.3</v>
      </c>
      <c r="R63" s="7"/>
      <c r="S63" s="7"/>
      <c r="T63" s="7"/>
      <c r="U63" s="7"/>
      <c r="V63" s="7"/>
      <c r="W63" s="7">
        <v>0.91700000000000004</v>
      </c>
      <c r="X63" s="7" t="s">
        <v>172</v>
      </c>
      <c r="Y63" s="17">
        <f>$G63*$P63/100</f>
        <v>47.990999999999993</v>
      </c>
      <c r="Z63" s="17">
        <f>$H63-$AB63</f>
        <v>1.0010000000000012</v>
      </c>
      <c r="AA63" s="17">
        <f>$G63-$Y63</f>
        <v>3.0090000000000074</v>
      </c>
      <c r="AB63" s="17">
        <f>$H63*$Q63/100</f>
        <v>11.998999999999999</v>
      </c>
      <c r="AC63" s="7">
        <f>$Y63/($Y63+$AA63)</f>
        <v>0.94099999999999984</v>
      </c>
      <c r="AD63" s="7">
        <f>$AB63/($Z63+$AB63)</f>
        <v>0.92299999999999993</v>
      </c>
      <c r="AE63" s="7">
        <f>$Y63/($Y63+$Z63)</f>
        <v>0.97956809274983681</v>
      </c>
      <c r="AF63" s="7">
        <f>$AB63/($AA63+$AB63)</f>
        <v>0.79950692963752623</v>
      </c>
      <c r="AG63" s="7">
        <f>$AC63/(1-$AD63)</f>
        <v>12.220779220779209</v>
      </c>
      <c r="AH63" s="7">
        <f>(1-$AC63)/$AD63</f>
        <v>6.3921993499458471E-2</v>
      </c>
      <c r="AI63" s="7">
        <f>($Y63+$AB63)/($Y63+$Z63+$AA63+$AB63)</f>
        <v>0.93734374999999992</v>
      </c>
      <c r="AJ63" s="20">
        <f>($Y63*$AB63)/($Z63*$AA63)</f>
        <v>191.18269865727416</v>
      </c>
    </row>
    <row r="64" spans="2:36" x14ac:dyDescent="0.3">
      <c r="B64" s="6">
        <v>34</v>
      </c>
      <c r="C64" s="8" t="s">
        <v>81</v>
      </c>
      <c r="D64" s="6" t="s">
        <v>130</v>
      </c>
      <c r="E64" s="10" t="s">
        <v>120</v>
      </c>
      <c r="F64" s="6">
        <v>593</v>
      </c>
      <c r="G64" s="15">
        <v>54</v>
      </c>
      <c r="H64" s="6">
        <f>8+284+144+103</f>
        <v>539</v>
      </c>
      <c r="I64" s="6" t="s">
        <v>365</v>
      </c>
      <c r="J64" s="6" t="s">
        <v>283</v>
      </c>
      <c r="K64" s="28">
        <v>1.7</v>
      </c>
      <c r="L64" s="11"/>
      <c r="M64" s="12"/>
      <c r="N64" s="12"/>
      <c r="O64" s="12"/>
      <c r="P64" s="7">
        <v>79</v>
      </c>
      <c r="Q64" s="7">
        <v>69</v>
      </c>
      <c r="R64" s="7">
        <v>20</v>
      </c>
      <c r="S64" s="7">
        <v>97</v>
      </c>
      <c r="T64" s="7"/>
      <c r="U64" s="7"/>
      <c r="V64" s="7"/>
      <c r="W64" s="7">
        <v>0.79600000000000004</v>
      </c>
      <c r="X64" s="7" t="s">
        <v>175</v>
      </c>
      <c r="Y64" s="17">
        <f>$G64*$P64/100</f>
        <v>42.66</v>
      </c>
      <c r="Z64" s="17">
        <f>$H64-$AB64</f>
        <v>167.08999999999997</v>
      </c>
      <c r="AA64" s="17">
        <f>$G64-$Y64</f>
        <v>11.340000000000003</v>
      </c>
      <c r="AB64" s="17">
        <f>$H64*$Q64/100</f>
        <v>371.91</v>
      </c>
      <c r="AC64" s="7">
        <f>$Y64/($Y64+$AA64)</f>
        <v>0.78999999999999992</v>
      </c>
      <c r="AD64" s="7">
        <f>$AB64/($Z64+$AB64)</f>
        <v>0.69000000000000006</v>
      </c>
      <c r="AE64" s="7">
        <f>$Y64/($Y64+$Z64)</f>
        <v>0.20338498212157333</v>
      </c>
      <c r="AF64" s="7">
        <f>$AB64/($AA64+$AB64)</f>
        <v>0.97041095890410967</v>
      </c>
      <c r="AG64" s="7">
        <f>$AC64/(1-$AD64)</f>
        <v>2.5483870967741939</v>
      </c>
      <c r="AH64" s="7">
        <f>(1-$AC64)/$AD64</f>
        <v>0.3043478260869566</v>
      </c>
      <c r="AI64" s="7">
        <f>($Y64+$AB64)/($Y64+$Z64+$AA64+$AB64)</f>
        <v>0.69910623946037109</v>
      </c>
      <c r="AJ64" s="20">
        <f>($Y64*$AB64)/($Z64*$AA64)</f>
        <v>8.3732718894009199</v>
      </c>
    </row>
    <row r="65" spans="2:36" x14ac:dyDescent="0.3">
      <c r="B65" s="6">
        <v>35</v>
      </c>
      <c r="C65" s="8" t="s">
        <v>82</v>
      </c>
      <c r="D65" s="6" t="s">
        <v>132</v>
      </c>
      <c r="E65" s="10" t="s">
        <v>381</v>
      </c>
      <c r="F65" s="6">
        <v>221</v>
      </c>
      <c r="G65" s="6" t="s">
        <v>283</v>
      </c>
      <c r="H65" s="6" t="s">
        <v>283</v>
      </c>
      <c r="I65" s="6" t="s">
        <v>365</v>
      </c>
      <c r="J65" s="6" t="s">
        <v>283</v>
      </c>
      <c r="K65" s="28" t="s">
        <v>283</v>
      </c>
      <c r="L65" s="31" t="s">
        <v>283</v>
      </c>
      <c r="M65" s="16" t="s">
        <v>283</v>
      </c>
      <c r="N65" s="16" t="s">
        <v>283</v>
      </c>
      <c r="O65" s="16" t="s">
        <v>283</v>
      </c>
      <c r="P65" s="6" t="s">
        <v>283</v>
      </c>
      <c r="Q65" s="6" t="s">
        <v>283</v>
      </c>
      <c r="R65" s="6" t="s">
        <v>283</v>
      </c>
      <c r="S65" s="6" t="s">
        <v>283</v>
      </c>
      <c r="T65" s="6" t="s">
        <v>283</v>
      </c>
      <c r="U65" s="6" t="s">
        <v>283</v>
      </c>
      <c r="V65" s="6" t="s">
        <v>283</v>
      </c>
      <c r="W65" s="6" t="s">
        <v>283</v>
      </c>
      <c r="X65" s="6" t="s">
        <v>283</v>
      </c>
      <c r="Y65" s="16" t="s">
        <v>283</v>
      </c>
      <c r="Z65" s="16" t="s">
        <v>283</v>
      </c>
      <c r="AA65" s="16" t="s">
        <v>283</v>
      </c>
      <c r="AB65" s="16" t="s">
        <v>283</v>
      </c>
      <c r="AC65" s="6" t="s">
        <v>283</v>
      </c>
      <c r="AD65" s="6" t="s">
        <v>283</v>
      </c>
      <c r="AE65" s="6" t="s">
        <v>283</v>
      </c>
      <c r="AF65" s="6" t="s">
        <v>283</v>
      </c>
      <c r="AG65" s="6" t="s">
        <v>283</v>
      </c>
      <c r="AH65" s="6" t="s">
        <v>283</v>
      </c>
      <c r="AI65" s="6" t="s">
        <v>283</v>
      </c>
      <c r="AJ65" s="21" t="s">
        <v>283</v>
      </c>
    </row>
    <row r="66" spans="2:36" x14ac:dyDescent="0.3">
      <c r="B66" s="6"/>
      <c r="C66" s="8"/>
      <c r="D66" s="6"/>
      <c r="E66" s="10" t="s">
        <v>382</v>
      </c>
      <c r="F66" s="6">
        <v>76</v>
      </c>
      <c r="G66" s="6" t="s">
        <v>283</v>
      </c>
      <c r="H66" s="6" t="s">
        <v>283</v>
      </c>
      <c r="I66" s="6" t="s">
        <v>365</v>
      </c>
      <c r="J66" s="6" t="s">
        <v>283</v>
      </c>
      <c r="K66" s="28" t="s">
        <v>283</v>
      </c>
      <c r="L66" s="31" t="s">
        <v>283</v>
      </c>
      <c r="M66" s="16" t="s">
        <v>283</v>
      </c>
      <c r="N66" s="16" t="s">
        <v>283</v>
      </c>
      <c r="O66" s="16" t="s">
        <v>283</v>
      </c>
      <c r="P66" s="6" t="s">
        <v>283</v>
      </c>
      <c r="Q66" s="6" t="s">
        <v>283</v>
      </c>
      <c r="R66" s="6" t="s">
        <v>283</v>
      </c>
      <c r="S66" s="6" t="s">
        <v>283</v>
      </c>
      <c r="T66" s="6" t="s">
        <v>283</v>
      </c>
      <c r="U66" s="6" t="s">
        <v>283</v>
      </c>
      <c r="V66" s="6" t="s">
        <v>283</v>
      </c>
      <c r="W66" s="6" t="s">
        <v>283</v>
      </c>
      <c r="X66" s="6" t="s">
        <v>283</v>
      </c>
      <c r="Y66" s="16" t="s">
        <v>283</v>
      </c>
      <c r="Z66" s="16" t="s">
        <v>283</v>
      </c>
      <c r="AA66" s="16" t="s">
        <v>283</v>
      </c>
      <c r="AB66" s="16" t="s">
        <v>283</v>
      </c>
      <c r="AC66" s="6" t="s">
        <v>283</v>
      </c>
      <c r="AD66" s="6" t="s">
        <v>283</v>
      </c>
      <c r="AE66" s="6" t="s">
        <v>283</v>
      </c>
      <c r="AF66" s="6" t="s">
        <v>283</v>
      </c>
      <c r="AG66" s="6" t="s">
        <v>283</v>
      </c>
      <c r="AH66" s="6" t="s">
        <v>283</v>
      </c>
      <c r="AI66" s="6" t="s">
        <v>283</v>
      </c>
      <c r="AJ66" s="21" t="s">
        <v>283</v>
      </c>
    </row>
    <row r="67" spans="2:36" x14ac:dyDescent="0.3">
      <c r="B67" s="6">
        <v>36</v>
      </c>
      <c r="C67" s="8" t="s">
        <v>83</v>
      </c>
      <c r="D67" s="6" t="s">
        <v>132</v>
      </c>
      <c r="E67" s="10" t="s">
        <v>125</v>
      </c>
      <c r="F67" s="6">
        <v>95</v>
      </c>
      <c r="G67" s="15">
        <v>40</v>
      </c>
      <c r="H67" s="6">
        <v>55</v>
      </c>
      <c r="I67" s="6" t="s">
        <v>365</v>
      </c>
      <c r="J67" s="6" t="s">
        <v>283</v>
      </c>
      <c r="K67" s="28">
        <v>2</v>
      </c>
      <c r="L67" s="11"/>
      <c r="M67" s="12"/>
      <c r="N67" s="12"/>
      <c r="O67" s="12"/>
      <c r="P67" s="7">
        <v>35</v>
      </c>
      <c r="Q67" s="7">
        <v>92.7</v>
      </c>
      <c r="R67" s="7">
        <v>77.8</v>
      </c>
      <c r="S67" s="7">
        <v>66.2</v>
      </c>
      <c r="T67" s="7"/>
      <c r="U67" s="7"/>
      <c r="V67" s="7"/>
      <c r="W67" s="7">
        <v>0.70399999999999996</v>
      </c>
      <c r="X67" s="7" t="s">
        <v>179</v>
      </c>
      <c r="Y67" s="17">
        <f>$G67*$P67/100</f>
        <v>14</v>
      </c>
      <c r="Z67" s="17">
        <f>$H67-$AB67</f>
        <v>4.0150000000000006</v>
      </c>
      <c r="AA67" s="17">
        <f>$G67-$Y67</f>
        <v>26</v>
      </c>
      <c r="AB67" s="17">
        <f>$H67*$Q67/100</f>
        <v>50.984999999999999</v>
      </c>
      <c r="AC67" s="7">
        <f>$Y67/($Y67+$AA67)</f>
        <v>0.35</v>
      </c>
      <c r="AD67" s="7">
        <f>$AB67/($Z67+$AB67)</f>
        <v>0.92699999999999994</v>
      </c>
      <c r="AE67" s="7">
        <f>$Y67/($Y67+$Z67)</f>
        <v>0.77713016930335832</v>
      </c>
      <c r="AF67" s="7">
        <f>$AB67/($AA67+$AB67)</f>
        <v>0.66227187114372932</v>
      </c>
      <c r="AG67" s="7">
        <f>$AC67/(1-$AD67)</f>
        <v>4.7945205479452007</v>
      </c>
      <c r="AH67" s="7">
        <f>(1-$AC67)/$AD67</f>
        <v>0.70118662351672068</v>
      </c>
      <c r="AI67" s="7">
        <f>($Y67+$AB67)/($Y67+$Z67+$AA67+$AB67)</f>
        <v>0.68405263157894736</v>
      </c>
      <c r="AJ67" s="20">
        <f>($Y67*$AB67)/($Z67*$AA67)</f>
        <v>6.8377239199156996</v>
      </c>
    </row>
    <row r="68" spans="2:36" x14ac:dyDescent="0.3">
      <c r="B68" s="6"/>
      <c r="C68" s="8"/>
      <c r="D68" s="6"/>
      <c r="E68" s="10"/>
      <c r="F68" s="6">
        <v>95</v>
      </c>
      <c r="G68" s="15">
        <v>40</v>
      </c>
      <c r="H68" s="6">
        <v>55</v>
      </c>
      <c r="I68" s="6" t="s">
        <v>283</v>
      </c>
      <c r="J68" s="6" t="s">
        <v>228</v>
      </c>
      <c r="K68" s="28" t="s">
        <v>408</v>
      </c>
      <c r="L68" s="11"/>
      <c r="M68" s="12"/>
      <c r="N68" s="12"/>
      <c r="O68" s="12"/>
      <c r="P68" s="7">
        <v>70</v>
      </c>
      <c r="Q68" s="7">
        <v>82.3</v>
      </c>
      <c r="R68" s="7">
        <v>80</v>
      </c>
      <c r="S68" s="7">
        <v>80</v>
      </c>
      <c r="T68" s="7"/>
      <c r="U68" s="7"/>
      <c r="V68" s="7"/>
      <c r="W68" s="7">
        <v>0.84799999999999998</v>
      </c>
      <c r="X68" s="7" t="s">
        <v>258</v>
      </c>
      <c r="Y68" s="17">
        <f>$G68*$P68/100</f>
        <v>28</v>
      </c>
      <c r="Z68" s="17">
        <f>$H68-$AB68</f>
        <v>9.7349999999999994</v>
      </c>
      <c r="AA68" s="17">
        <f>$G68-$Y68</f>
        <v>12</v>
      </c>
      <c r="AB68" s="17">
        <f>$H68*$Q68/100</f>
        <v>45.265000000000001</v>
      </c>
      <c r="AC68" s="7">
        <f>$Y68/($Y68+$AA68)</f>
        <v>0.7</v>
      </c>
      <c r="AD68" s="7">
        <f>$AB68/($Z68+$AB68)</f>
        <v>0.82300000000000006</v>
      </c>
      <c r="AE68" s="7">
        <f>$Y68/($Y68+$Z68)</f>
        <v>0.74201669537564596</v>
      </c>
      <c r="AF68" s="7">
        <f>$AB68/($AA68+$AB68)</f>
        <v>0.79044791757618094</v>
      </c>
      <c r="AG68" s="7">
        <f>$AC68/(1-$AD68)</f>
        <v>3.954802259887007</v>
      </c>
      <c r="AH68" s="7">
        <f>(1-$AC68)/$AD68</f>
        <v>0.36452004860267317</v>
      </c>
      <c r="AI68" s="7">
        <f>($Y68+$AB68)/($Y68+$Z68+$AA68+$AB68)</f>
        <v>0.77121052631578946</v>
      </c>
      <c r="AJ68" s="20">
        <f>($Y68*$AB68)/($Z68*$AA68)</f>
        <v>10.849340866290021</v>
      </c>
    </row>
    <row r="69" spans="2:36" x14ac:dyDescent="0.3">
      <c r="B69" s="6">
        <v>37</v>
      </c>
      <c r="C69" s="8" t="s">
        <v>85</v>
      </c>
      <c r="D69" s="6" t="s">
        <v>131</v>
      </c>
      <c r="E69" s="10" t="s">
        <v>128</v>
      </c>
      <c r="F69" s="6">
        <v>57</v>
      </c>
      <c r="G69" s="15">
        <v>5</v>
      </c>
      <c r="H69" s="6">
        <f>0+24+17+11</f>
        <v>52</v>
      </c>
      <c r="I69" s="6" t="s">
        <v>365</v>
      </c>
      <c r="J69" s="6" t="s">
        <v>283</v>
      </c>
      <c r="K69" s="28">
        <v>3.7</v>
      </c>
      <c r="L69" s="11"/>
      <c r="M69" s="12"/>
      <c r="N69" s="12"/>
      <c r="O69" s="12"/>
      <c r="P69" s="7">
        <v>100</v>
      </c>
      <c r="Q69" s="7">
        <v>97.9</v>
      </c>
      <c r="R69" s="7"/>
      <c r="S69" s="7"/>
      <c r="T69" s="7"/>
      <c r="U69" s="7"/>
      <c r="V69" s="7"/>
      <c r="W69" s="7">
        <v>0.97</v>
      </c>
      <c r="X69" s="7"/>
      <c r="Y69" s="17">
        <f>$G69*$P69/100</f>
        <v>5</v>
      </c>
      <c r="Z69" s="17">
        <f>$H69-$AB69</f>
        <v>1.0919999999999987</v>
      </c>
      <c r="AA69" s="17">
        <f>$G69-$Y69</f>
        <v>0</v>
      </c>
      <c r="AB69" s="17">
        <f>$H69*$Q69/100</f>
        <v>50.908000000000001</v>
      </c>
      <c r="AC69" s="7">
        <f>$Y69/($Y69+$AA69)</f>
        <v>1</v>
      </c>
      <c r="AD69" s="7">
        <f>$AB69/($Z69+$AB69)</f>
        <v>0.97899999999999998</v>
      </c>
      <c r="AE69" s="7">
        <f>$Y69/($Y69+$Z69)</f>
        <v>0.82074852265265941</v>
      </c>
      <c r="AF69" s="7">
        <f>$AB69/($AA69+$AB69)</f>
        <v>1</v>
      </c>
      <c r="AG69" s="7">
        <f>$AC69/(1-$AD69)</f>
        <v>47.619047619047578</v>
      </c>
      <c r="AH69" s="7">
        <f>(1-$AC69)/$AD69</f>
        <v>0</v>
      </c>
      <c r="AI69" s="7">
        <f>($Y69+$AB69)/($Y69+$Z69+$AA69+$AB69)</f>
        <v>0.98084210526315796</v>
      </c>
      <c r="AJ69" s="21" t="s">
        <v>134</v>
      </c>
    </row>
    <row r="70" spans="2:36" x14ac:dyDescent="0.3">
      <c r="B70" s="6">
        <v>38</v>
      </c>
      <c r="C70" s="8" t="s">
        <v>86</v>
      </c>
      <c r="D70" s="6" t="s">
        <v>18</v>
      </c>
      <c r="E70" s="10" t="s">
        <v>119</v>
      </c>
      <c r="F70" s="6">
        <v>134</v>
      </c>
      <c r="G70" s="15">
        <v>13</v>
      </c>
      <c r="H70" s="6">
        <f>25+68+28</f>
        <v>121</v>
      </c>
      <c r="I70" s="6" t="s">
        <v>365</v>
      </c>
      <c r="J70" s="6" t="s">
        <v>283</v>
      </c>
      <c r="K70" s="28">
        <v>1.6</v>
      </c>
      <c r="L70" s="11"/>
      <c r="M70" s="12"/>
      <c r="N70" s="12"/>
      <c r="O70" s="12"/>
      <c r="P70" s="7">
        <v>69.2</v>
      </c>
      <c r="Q70" s="7">
        <v>88.4</v>
      </c>
      <c r="R70" s="7">
        <v>39.1</v>
      </c>
      <c r="S70" s="7">
        <v>96.4</v>
      </c>
      <c r="T70" s="7"/>
      <c r="U70" s="7"/>
      <c r="V70" s="7">
        <v>86.6</v>
      </c>
      <c r="W70" s="7">
        <v>0.85399999999999998</v>
      </c>
      <c r="X70" s="7"/>
      <c r="Y70" s="17">
        <f>$G70*$P70/100</f>
        <v>8.9960000000000004</v>
      </c>
      <c r="Z70" s="17">
        <f>$H70-$AB70</f>
        <v>14.035999999999987</v>
      </c>
      <c r="AA70" s="17">
        <f>$G70-$Y70</f>
        <v>4.0039999999999996</v>
      </c>
      <c r="AB70" s="17">
        <f>$H70*$Q70/100</f>
        <v>106.96400000000001</v>
      </c>
      <c r="AC70" s="7">
        <f>$Y70/($Y70+$AA70)</f>
        <v>0.69200000000000006</v>
      </c>
      <c r="AD70" s="7">
        <f>$AB70/($Z70+$AB70)</f>
        <v>0.88400000000000012</v>
      </c>
      <c r="AE70" s="7">
        <f>$Y70/($Y70+$Z70)</f>
        <v>0.39058700937825652</v>
      </c>
      <c r="AF70" s="7">
        <f>$AB70/($AA70+$AB70)</f>
        <v>0.96391752577319589</v>
      </c>
      <c r="AG70" s="7">
        <f>$AC70/(1-$AD70)</f>
        <v>5.9655172413793167</v>
      </c>
      <c r="AH70" s="7">
        <f>(1-$AC70)/$AD70</f>
        <v>0.34841628959276005</v>
      </c>
      <c r="AI70" s="7">
        <f>($Y70+$AB70)/($Y70+$Z70+$AA70+$AB70)</f>
        <v>0.86537313432835827</v>
      </c>
      <c r="AJ70" s="20">
        <f>($Y70*$AB70)/($Z70*$AA70)</f>
        <v>17.121809225257522</v>
      </c>
    </row>
    <row r="71" spans="2:36" x14ac:dyDescent="0.3">
      <c r="B71" s="6">
        <v>39</v>
      </c>
      <c r="C71" s="8" t="s">
        <v>87</v>
      </c>
      <c r="D71" s="6" t="s">
        <v>132</v>
      </c>
      <c r="E71" s="10" t="s">
        <v>381</v>
      </c>
      <c r="F71" s="6">
        <v>125</v>
      </c>
      <c r="G71" s="6" t="s">
        <v>283</v>
      </c>
      <c r="H71" s="6" t="s">
        <v>283</v>
      </c>
      <c r="I71" s="6" t="s">
        <v>365</v>
      </c>
      <c r="J71" s="6" t="s">
        <v>283</v>
      </c>
      <c r="K71" s="28" t="s">
        <v>283</v>
      </c>
      <c r="L71" s="31" t="s">
        <v>283</v>
      </c>
      <c r="M71" s="16" t="s">
        <v>283</v>
      </c>
      <c r="N71" s="16" t="s">
        <v>283</v>
      </c>
      <c r="O71" s="16" t="s">
        <v>283</v>
      </c>
      <c r="P71" s="6" t="s">
        <v>283</v>
      </c>
      <c r="Q71" s="6" t="s">
        <v>283</v>
      </c>
      <c r="R71" s="6" t="s">
        <v>283</v>
      </c>
      <c r="S71" s="6" t="s">
        <v>283</v>
      </c>
      <c r="T71" s="6" t="s">
        <v>283</v>
      </c>
      <c r="U71" s="6" t="s">
        <v>283</v>
      </c>
      <c r="V71" s="6" t="s">
        <v>283</v>
      </c>
      <c r="W71" s="6" t="s">
        <v>283</v>
      </c>
      <c r="X71" s="6" t="s">
        <v>283</v>
      </c>
      <c r="Y71" s="16" t="s">
        <v>283</v>
      </c>
      <c r="Z71" s="16" t="s">
        <v>283</v>
      </c>
      <c r="AA71" s="16" t="s">
        <v>283</v>
      </c>
      <c r="AB71" s="16" t="s">
        <v>283</v>
      </c>
      <c r="AC71" s="6" t="s">
        <v>283</v>
      </c>
      <c r="AD71" s="6" t="s">
        <v>283</v>
      </c>
      <c r="AE71" s="6" t="s">
        <v>283</v>
      </c>
      <c r="AF71" s="6" t="s">
        <v>283</v>
      </c>
      <c r="AG71" s="6" t="s">
        <v>283</v>
      </c>
      <c r="AH71" s="6" t="s">
        <v>283</v>
      </c>
      <c r="AI71" s="6" t="s">
        <v>283</v>
      </c>
      <c r="AJ71" s="21" t="s">
        <v>283</v>
      </c>
    </row>
    <row r="72" spans="2:36" x14ac:dyDescent="0.3">
      <c r="B72" s="6"/>
      <c r="C72" s="8"/>
      <c r="D72" s="6"/>
      <c r="E72" s="10" t="s">
        <v>382</v>
      </c>
      <c r="F72" s="6">
        <v>124</v>
      </c>
      <c r="G72" s="6" t="s">
        <v>283</v>
      </c>
      <c r="H72" s="6" t="s">
        <v>283</v>
      </c>
      <c r="I72" s="6" t="s">
        <v>365</v>
      </c>
      <c r="J72" s="6" t="s">
        <v>283</v>
      </c>
      <c r="K72" s="28" t="s">
        <v>283</v>
      </c>
      <c r="L72" s="31" t="s">
        <v>283</v>
      </c>
      <c r="M72" s="16" t="s">
        <v>283</v>
      </c>
      <c r="N72" s="16" t="s">
        <v>283</v>
      </c>
      <c r="O72" s="16" t="s">
        <v>283</v>
      </c>
      <c r="P72" s="6" t="s">
        <v>283</v>
      </c>
      <c r="Q72" s="6" t="s">
        <v>283</v>
      </c>
      <c r="R72" s="6" t="s">
        <v>283</v>
      </c>
      <c r="S72" s="6" t="s">
        <v>283</v>
      </c>
      <c r="T72" s="6" t="s">
        <v>283</v>
      </c>
      <c r="U72" s="6" t="s">
        <v>283</v>
      </c>
      <c r="V72" s="6" t="s">
        <v>283</v>
      </c>
      <c r="W72" s="6" t="s">
        <v>283</v>
      </c>
      <c r="X72" s="6" t="s">
        <v>283</v>
      </c>
      <c r="Y72" s="16" t="s">
        <v>283</v>
      </c>
      <c r="Z72" s="16" t="s">
        <v>283</v>
      </c>
      <c r="AA72" s="16" t="s">
        <v>283</v>
      </c>
      <c r="AB72" s="16" t="s">
        <v>283</v>
      </c>
      <c r="AC72" s="6" t="s">
        <v>283</v>
      </c>
      <c r="AD72" s="6" t="s">
        <v>283</v>
      </c>
      <c r="AE72" s="6" t="s">
        <v>283</v>
      </c>
      <c r="AF72" s="6" t="s">
        <v>283</v>
      </c>
      <c r="AG72" s="6" t="s">
        <v>283</v>
      </c>
      <c r="AH72" s="6" t="s">
        <v>283</v>
      </c>
      <c r="AI72" s="6" t="s">
        <v>283</v>
      </c>
      <c r="AJ72" s="21" t="s">
        <v>283</v>
      </c>
    </row>
    <row r="73" spans="2:36" x14ac:dyDescent="0.3">
      <c r="B73" s="6">
        <v>40</v>
      </c>
      <c r="C73" s="8" t="s">
        <v>88</v>
      </c>
      <c r="D73" s="6" t="s">
        <v>130</v>
      </c>
      <c r="E73" s="10" t="s">
        <v>120</v>
      </c>
      <c r="F73" s="6">
        <v>146</v>
      </c>
      <c r="G73" s="6" t="s">
        <v>283</v>
      </c>
      <c r="H73" s="6" t="s">
        <v>283</v>
      </c>
      <c r="I73" s="6" t="s">
        <v>365</v>
      </c>
      <c r="J73" s="6" t="s">
        <v>283</v>
      </c>
      <c r="K73" s="28" t="s">
        <v>283</v>
      </c>
      <c r="L73" s="31" t="s">
        <v>283</v>
      </c>
      <c r="M73" s="16" t="s">
        <v>283</v>
      </c>
      <c r="N73" s="16" t="s">
        <v>283</v>
      </c>
      <c r="O73" s="16" t="s">
        <v>283</v>
      </c>
      <c r="P73" s="6" t="s">
        <v>283</v>
      </c>
      <c r="Q73" s="6" t="s">
        <v>283</v>
      </c>
      <c r="R73" s="6" t="s">
        <v>283</v>
      </c>
      <c r="S73" s="6" t="s">
        <v>283</v>
      </c>
      <c r="T73" s="6" t="s">
        <v>283</v>
      </c>
      <c r="U73" s="6" t="s">
        <v>283</v>
      </c>
      <c r="V73" s="6" t="s">
        <v>283</v>
      </c>
      <c r="W73" s="6" t="s">
        <v>283</v>
      </c>
      <c r="X73" s="6" t="s">
        <v>283</v>
      </c>
      <c r="Y73" s="16" t="s">
        <v>283</v>
      </c>
      <c r="Z73" s="16" t="s">
        <v>283</v>
      </c>
      <c r="AA73" s="16" t="s">
        <v>283</v>
      </c>
      <c r="AB73" s="16" t="s">
        <v>283</v>
      </c>
      <c r="AC73" s="6" t="s">
        <v>283</v>
      </c>
      <c r="AD73" s="6" t="s">
        <v>283</v>
      </c>
      <c r="AE73" s="6" t="s">
        <v>283</v>
      </c>
      <c r="AF73" s="6" t="s">
        <v>283</v>
      </c>
      <c r="AG73" s="6" t="s">
        <v>283</v>
      </c>
      <c r="AH73" s="6" t="s">
        <v>283</v>
      </c>
      <c r="AI73" s="6" t="s">
        <v>283</v>
      </c>
      <c r="AJ73" s="21" t="s">
        <v>283</v>
      </c>
    </row>
    <row r="74" spans="2:36" x14ac:dyDescent="0.3">
      <c r="B74" s="6">
        <v>41</v>
      </c>
      <c r="C74" s="8" t="s">
        <v>90</v>
      </c>
      <c r="D74" s="6" t="s">
        <v>18</v>
      </c>
      <c r="E74" s="10" t="s">
        <v>123</v>
      </c>
      <c r="F74" s="6">
        <v>289</v>
      </c>
      <c r="G74" s="15">
        <v>51</v>
      </c>
      <c r="H74" s="6">
        <f>35+113+49+41</f>
        <v>238</v>
      </c>
      <c r="I74" s="6" t="s">
        <v>365</v>
      </c>
      <c r="J74" s="6" t="s">
        <v>283</v>
      </c>
      <c r="K74" s="28">
        <v>1.46</v>
      </c>
      <c r="L74" s="11"/>
      <c r="M74" s="12"/>
      <c r="N74" s="12"/>
      <c r="O74" s="12"/>
      <c r="P74" s="7">
        <v>72.599999999999994</v>
      </c>
      <c r="Q74" s="7">
        <v>87</v>
      </c>
      <c r="R74" s="7">
        <v>54.4</v>
      </c>
      <c r="S74" s="7">
        <v>93.7</v>
      </c>
      <c r="T74" s="7"/>
      <c r="U74" s="7"/>
      <c r="V74" s="7">
        <v>84.4</v>
      </c>
      <c r="W74" s="7">
        <v>0.879</v>
      </c>
      <c r="X74" s="7" t="s">
        <v>182</v>
      </c>
      <c r="Y74" s="17">
        <f>$G74*$P74/100</f>
        <v>37.025999999999996</v>
      </c>
      <c r="Z74" s="17">
        <f>$H74-$AB74</f>
        <v>30.939999999999998</v>
      </c>
      <c r="AA74" s="17">
        <f>$G74-$Y74</f>
        <v>13.974000000000004</v>
      </c>
      <c r="AB74" s="17">
        <f>$H74*$Q74/100</f>
        <v>207.06</v>
      </c>
      <c r="AC74" s="7">
        <f>$Y74/($Y74+$AA74)</f>
        <v>0.72599999999999998</v>
      </c>
      <c r="AD74" s="7">
        <f>$AB74/($Z74+$AB74)</f>
        <v>0.87</v>
      </c>
      <c r="AE74" s="7">
        <f>$Y74/($Y74+$Z74)</f>
        <v>0.54477238619309654</v>
      </c>
      <c r="AF74" s="7">
        <f>$AB74/($AA74+$AB74)</f>
        <v>0.93677895708352565</v>
      </c>
      <c r="AG74" s="7">
        <f>$AC74/(1-$AD74)</f>
        <v>5.5846153846153843</v>
      </c>
      <c r="AH74" s="7">
        <f>(1-$AC74)/$AD74</f>
        <v>0.31494252873563222</v>
      </c>
      <c r="AI74" s="7">
        <f>($Y74+$AB74)/($Y74+$Z74+$AA74+$AB74)</f>
        <v>0.84458823529411764</v>
      </c>
      <c r="AJ74" s="20">
        <f>($Y74*$AB74)/($Z74*$AA74)</f>
        <v>17.732172936552494</v>
      </c>
    </row>
    <row r="75" spans="2:36" x14ac:dyDescent="0.3">
      <c r="B75" s="6">
        <v>42</v>
      </c>
      <c r="C75" s="8" t="s">
        <v>93</v>
      </c>
      <c r="D75" s="6" t="s">
        <v>131</v>
      </c>
      <c r="E75" s="10" t="s">
        <v>126</v>
      </c>
      <c r="F75" s="6">
        <v>376</v>
      </c>
      <c r="G75" s="15">
        <v>130</v>
      </c>
      <c r="H75" s="6">
        <f>29+42+97+78</f>
        <v>246</v>
      </c>
      <c r="I75" s="6" t="s">
        <v>365</v>
      </c>
      <c r="J75" s="6" t="s">
        <v>283</v>
      </c>
      <c r="K75" s="37" t="s">
        <v>208</v>
      </c>
      <c r="L75" s="11"/>
      <c r="M75" s="12"/>
      <c r="N75" s="12"/>
      <c r="O75" s="12"/>
      <c r="P75" s="7"/>
      <c r="Q75" s="7"/>
      <c r="R75" s="7"/>
      <c r="S75" s="7"/>
      <c r="T75" s="7"/>
      <c r="U75" s="7"/>
      <c r="V75" s="7"/>
      <c r="W75" s="7">
        <v>0.70099999999999996</v>
      </c>
      <c r="X75" s="7"/>
      <c r="Y75" s="12"/>
      <c r="Z75" s="12"/>
      <c r="AA75" s="12"/>
      <c r="AB75" s="12"/>
      <c r="AC75" s="7"/>
      <c r="AD75" s="7"/>
      <c r="AE75" s="7"/>
      <c r="AF75" s="7"/>
      <c r="AG75" s="7"/>
      <c r="AH75" s="7"/>
      <c r="AI75" s="7"/>
      <c r="AJ75" s="20"/>
    </row>
    <row r="76" spans="2:36" x14ac:dyDescent="0.3">
      <c r="B76" s="6">
        <v>43</v>
      </c>
      <c r="C76" s="8" t="s">
        <v>95</v>
      </c>
      <c r="D76" s="6" t="s">
        <v>131</v>
      </c>
      <c r="E76" s="10" t="s">
        <v>129</v>
      </c>
      <c r="F76" s="6">
        <v>84</v>
      </c>
      <c r="G76" s="15">
        <v>18</v>
      </c>
      <c r="H76" s="6">
        <f>24+24+18</f>
        <v>66</v>
      </c>
      <c r="I76" s="6" t="s">
        <v>365</v>
      </c>
      <c r="J76" s="6" t="s">
        <v>283</v>
      </c>
      <c r="K76" s="28">
        <v>3.9</v>
      </c>
      <c r="L76" s="11"/>
      <c r="M76" s="12"/>
      <c r="N76" s="12"/>
      <c r="O76" s="12"/>
      <c r="P76" s="7">
        <v>94.4</v>
      </c>
      <c r="Q76" s="7">
        <v>75.8</v>
      </c>
      <c r="R76" s="7"/>
      <c r="S76" s="7"/>
      <c r="T76" s="7"/>
      <c r="U76" s="7"/>
      <c r="W76" s="7">
        <v>0.85299999999999998</v>
      </c>
      <c r="X76" s="7"/>
      <c r="Y76" s="17">
        <f>$G76*$P76/100</f>
        <v>16.992000000000001</v>
      </c>
      <c r="Z76" s="17">
        <f>$H76-$AB76</f>
        <v>15.972000000000001</v>
      </c>
      <c r="AA76" s="17">
        <f>$G76-$Y76</f>
        <v>1.0079999999999991</v>
      </c>
      <c r="AB76" s="17">
        <f>$H76*$Q76/100</f>
        <v>50.027999999999999</v>
      </c>
      <c r="AC76" s="7">
        <f>$Y76/($Y76+$AA76)</f>
        <v>0.94400000000000006</v>
      </c>
      <c r="AD76" s="7">
        <f>$AB76/($Z76+$AB76)</f>
        <v>0.75800000000000001</v>
      </c>
      <c r="AE76" s="7">
        <f>$Y76/($Y76+$Z76)</f>
        <v>0.5154714233709502</v>
      </c>
      <c r="AF76" s="7">
        <f>$AB76/($AA76+$AB76)</f>
        <v>0.98024923583352919</v>
      </c>
      <c r="AG76" s="7">
        <f>$AC76/(1-$AD76)</f>
        <v>3.9008264462809921</v>
      </c>
      <c r="AH76" s="7">
        <f>(1-$AC76)/$AD76</f>
        <v>7.3878627968337648E-2</v>
      </c>
      <c r="AI76" s="7">
        <f>($Y76+$AB76)/($Y76+$Z76+$AA76+$AB76)</f>
        <v>0.79785714285714282</v>
      </c>
      <c r="AJ76" s="20">
        <f>($Y76*$AB76)/($Z76*$AA76)</f>
        <v>52.800472255017752</v>
      </c>
    </row>
    <row r="77" spans="2:36" x14ac:dyDescent="0.3">
      <c r="B77" s="6">
        <v>44</v>
      </c>
      <c r="C77" s="8" t="s">
        <v>96</v>
      </c>
      <c r="D77" s="6" t="s">
        <v>131</v>
      </c>
      <c r="E77" s="10" t="s">
        <v>215</v>
      </c>
      <c r="F77" s="6">
        <v>200</v>
      </c>
      <c r="G77" s="15">
        <v>34</v>
      </c>
      <c r="H77" s="6">
        <f>84+45+21+16</f>
        <v>166</v>
      </c>
      <c r="I77" s="6" t="s">
        <v>365</v>
      </c>
      <c r="J77" s="6" t="s">
        <v>283</v>
      </c>
      <c r="K77" s="28">
        <v>2.64</v>
      </c>
      <c r="L77" s="11"/>
      <c r="M77" s="12"/>
      <c r="N77" s="12"/>
      <c r="O77" s="12"/>
      <c r="P77" s="7">
        <v>82.4</v>
      </c>
      <c r="Q77" s="7">
        <v>71.900000000000006</v>
      </c>
      <c r="R77" s="7">
        <v>37.299999999999997</v>
      </c>
      <c r="S77" s="7">
        <v>95.2</v>
      </c>
      <c r="T77" s="7"/>
      <c r="U77" s="7"/>
      <c r="V77" s="7"/>
      <c r="W77" s="7">
        <v>0.79500000000000004</v>
      </c>
      <c r="X77" s="7"/>
      <c r="Y77" s="17">
        <f>$G77*$P77/100</f>
        <v>28.016000000000005</v>
      </c>
      <c r="Z77" s="17">
        <f>$H77-$AB77</f>
        <v>46.645999999999987</v>
      </c>
      <c r="AA77" s="17">
        <f>$G77-$Y77</f>
        <v>5.9839999999999947</v>
      </c>
      <c r="AB77" s="17">
        <f>$H77*$Q77/100</f>
        <v>119.35400000000001</v>
      </c>
      <c r="AC77" s="7">
        <f>$Y77/($Y77+$AA77)</f>
        <v>0.82400000000000018</v>
      </c>
      <c r="AD77" s="7">
        <f>$AB77/($Z77+$AB77)</f>
        <v>0.71900000000000008</v>
      </c>
      <c r="AE77" s="7">
        <f>$Y77/($Y77+$Z77)</f>
        <v>0.37523773807291538</v>
      </c>
      <c r="AF77" s="7">
        <f>$AB77/($AA77+$AB77)</f>
        <v>0.95225709681022519</v>
      </c>
      <c r="AG77" s="7">
        <f>$AC77/(1-$AD77)</f>
        <v>2.9323843416370123</v>
      </c>
      <c r="AH77" s="7">
        <f>(1-$AC77)/$AD77</f>
        <v>0.24478442280945731</v>
      </c>
      <c r="AI77" s="7">
        <f>($Y77+$AB77)/($Y77+$Z77+$AA77+$AB77)</f>
        <v>0.73685</v>
      </c>
      <c r="AJ77" s="20">
        <f>($Y77*$AB77)/($Z77*$AA77)</f>
        <v>11.979456486573943</v>
      </c>
    </row>
    <row r="78" spans="2:36" x14ac:dyDescent="0.3">
      <c r="B78" s="6">
        <v>45</v>
      </c>
      <c r="C78" s="8" t="s">
        <v>99</v>
      </c>
      <c r="D78" s="6" t="s">
        <v>131</v>
      </c>
      <c r="E78" s="10" t="s">
        <v>128</v>
      </c>
      <c r="F78" s="6">
        <v>137</v>
      </c>
      <c r="G78" s="15">
        <v>11</v>
      </c>
      <c r="H78" s="6">
        <f>10+71+27+18</f>
        <v>126</v>
      </c>
      <c r="I78" s="6" t="s">
        <v>365</v>
      </c>
      <c r="J78" s="6" t="s">
        <v>283</v>
      </c>
      <c r="K78" s="28">
        <v>2</v>
      </c>
      <c r="L78" s="11"/>
      <c r="M78" s="12"/>
      <c r="N78" s="12"/>
      <c r="O78" s="12"/>
      <c r="P78" s="7">
        <v>39</v>
      </c>
      <c r="Q78" s="7">
        <v>100</v>
      </c>
      <c r="R78" s="7">
        <v>10</v>
      </c>
      <c r="S78" s="7">
        <v>70</v>
      </c>
      <c r="T78" s="7"/>
      <c r="U78" s="7"/>
      <c r="V78" s="7"/>
      <c r="W78" s="7">
        <v>0.96499999999999997</v>
      </c>
      <c r="X78" s="7" t="s">
        <v>185</v>
      </c>
      <c r="Y78" s="17">
        <f>$G78*$P78/100</f>
        <v>4.29</v>
      </c>
      <c r="Z78" s="17">
        <f>$H78-$AB78</f>
        <v>0</v>
      </c>
      <c r="AA78" s="17">
        <f>$G78-$Y78</f>
        <v>6.71</v>
      </c>
      <c r="AB78" s="17">
        <f>$H78*$Q78/100</f>
        <v>126</v>
      </c>
      <c r="AC78" s="7">
        <f>$Y78/($Y78+$AA78)</f>
        <v>0.39</v>
      </c>
      <c r="AD78" s="7">
        <f>$AB78/($Z78+$AB78)</f>
        <v>1</v>
      </c>
      <c r="AE78" s="7">
        <f>$Y78/($Y78+$Z78)</f>
        <v>1</v>
      </c>
      <c r="AF78" s="7">
        <f>$AB78/($AA78+$AB78)</f>
        <v>0.94943862557456105</v>
      </c>
      <c r="AG78" s="6" t="s">
        <v>134</v>
      </c>
      <c r="AH78" s="7">
        <f>(1-$AC78)/$AD78</f>
        <v>0.61</v>
      </c>
      <c r="AI78" s="7">
        <f>($Y78+$AB78)/($Y78+$Z78+$AA78+$AB78)</f>
        <v>0.95102189781021895</v>
      </c>
      <c r="AJ78" s="21" t="s">
        <v>134</v>
      </c>
    </row>
  </sheetData>
  <sheetProtection algorithmName="SHA-512" hashValue="lOrI9HgYEAiGNIpGSCNoxb1tVQHeK+6Gj7CxarOdUTORudKIcdDkK0nk3n4z9US2lN8j1RTx6ou9DmyMKZAPXg==" saltValue="q5i1oQLk3qrk8AiVTcPaXw==" spinCount="100000" sheet="1" objects="1" scenarios="1" selectLockedCells="1" selectUnlockedCells="1"/>
  <mergeCells count="12">
    <mergeCell ref="B1:B3"/>
    <mergeCell ref="C1:C3"/>
    <mergeCell ref="D1:H1"/>
    <mergeCell ref="L1:X1"/>
    <mergeCell ref="Y1:AJ1"/>
    <mergeCell ref="D2:D3"/>
    <mergeCell ref="E2:E3"/>
    <mergeCell ref="I2:I3"/>
    <mergeCell ref="K2:K3"/>
    <mergeCell ref="W2:X2"/>
    <mergeCell ref="I1:K1"/>
    <mergeCell ref="J2:J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5"/>
  <sheetViews>
    <sheetView tabSelected="1" zoomScale="80" zoomScaleNormal="80" workbookViewId="0">
      <pane ySplit="3" topLeftCell="A4" activePane="bottomLeft" state="frozen"/>
      <selection pane="bottomLeft" activeCell="C5" sqref="C5"/>
    </sheetView>
  </sheetViews>
  <sheetFormatPr defaultRowHeight="16.5" x14ac:dyDescent="0.3"/>
  <cols>
    <col min="1" max="2" width="5.125" customWidth="1"/>
    <col min="3" max="3" width="15.625" style="4" customWidth="1"/>
    <col min="5" max="5" width="16.5" customWidth="1"/>
    <col min="6" max="6" width="9" customWidth="1"/>
    <col min="7" max="7" width="9" style="3" customWidth="1"/>
    <col min="8" max="8" width="9" style="3"/>
    <col min="9" max="11" width="9.875" style="3" customWidth="1"/>
    <col min="12" max="35" width="7.125" customWidth="1"/>
  </cols>
  <sheetData>
    <row r="1" spans="2:36" ht="16.5" customHeight="1" x14ac:dyDescent="0.3">
      <c r="B1" s="51" t="s">
        <v>0</v>
      </c>
      <c r="C1" s="54" t="s">
        <v>267</v>
      </c>
      <c r="D1" s="54" t="s">
        <v>112</v>
      </c>
      <c r="E1" s="54"/>
      <c r="F1" s="54"/>
      <c r="G1" s="54"/>
      <c r="H1" s="54"/>
      <c r="I1" s="54" t="s">
        <v>100</v>
      </c>
      <c r="J1" s="54"/>
      <c r="K1" s="63"/>
      <c r="L1" s="55" t="s">
        <v>113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6" t="s">
        <v>101</v>
      </c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2:36" ht="16.5" customHeight="1" x14ac:dyDescent="0.3">
      <c r="B2" s="52"/>
      <c r="C2" s="54"/>
      <c r="D2" s="54" t="s">
        <v>1</v>
      </c>
      <c r="E2" s="57" t="s">
        <v>137</v>
      </c>
      <c r="F2" s="5" t="s">
        <v>138</v>
      </c>
      <c r="G2" s="13"/>
      <c r="H2" s="14"/>
      <c r="I2" s="59" t="s">
        <v>366</v>
      </c>
      <c r="J2" s="54" t="s">
        <v>282</v>
      </c>
      <c r="K2" s="60" t="s">
        <v>409</v>
      </c>
      <c r="L2" s="9" t="s">
        <v>102</v>
      </c>
      <c r="M2" s="5" t="s">
        <v>103</v>
      </c>
      <c r="N2" s="5" t="s">
        <v>104</v>
      </c>
      <c r="O2" s="5" t="s">
        <v>105</v>
      </c>
      <c r="P2" s="5" t="s">
        <v>106</v>
      </c>
      <c r="Q2" s="5" t="s">
        <v>114</v>
      </c>
      <c r="R2" s="5" t="s">
        <v>115</v>
      </c>
      <c r="S2" s="5" t="s">
        <v>116</v>
      </c>
      <c r="T2" s="5" t="s">
        <v>107</v>
      </c>
      <c r="U2" s="5" t="s">
        <v>108</v>
      </c>
      <c r="V2" s="5" t="s">
        <v>117</v>
      </c>
      <c r="W2" s="62" t="s">
        <v>46</v>
      </c>
      <c r="X2" s="55"/>
      <c r="Y2" s="5" t="s">
        <v>102</v>
      </c>
      <c r="Z2" s="5" t="s">
        <v>103</v>
      </c>
      <c r="AA2" s="5" t="s">
        <v>104</v>
      </c>
      <c r="AB2" s="5" t="s">
        <v>105</v>
      </c>
      <c r="AC2" s="5" t="s">
        <v>106</v>
      </c>
      <c r="AD2" s="5" t="s">
        <v>114</v>
      </c>
      <c r="AE2" s="5" t="s">
        <v>115</v>
      </c>
      <c r="AF2" s="5" t="s">
        <v>116</v>
      </c>
      <c r="AG2" s="5" t="s">
        <v>107</v>
      </c>
      <c r="AH2" s="5" t="s">
        <v>108</v>
      </c>
      <c r="AI2" s="5" t="s">
        <v>117</v>
      </c>
      <c r="AJ2" s="5" t="s">
        <v>144</v>
      </c>
    </row>
    <row r="3" spans="2:36" x14ac:dyDescent="0.3">
      <c r="B3" s="53"/>
      <c r="C3" s="54"/>
      <c r="D3" s="54"/>
      <c r="E3" s="58"/>
      <c r="F3" s="5" t="s">
        <v>109</v>
      </c>
      <c r="G3" s="5" t="s">
        <v>109</v>
      </c>
      <c r="H3" s="5" t="s">
        <v>109</v>
      </c>
      <c r="I3" s="54"/>
      <c r="J3" s="54"/>
      <c r="K3" s="61"/>
      <c r="L3" s="9" t="s">
        <v>109</v>
      </c>
      <c r="M3" s="5" t="s">
        <v>109</v>
      </c>
      <c r="N3" s="5" t="s">
        <v>109</v>
      </c>
      <c r="O3" s="5" t="s">
        <v>109</v>
      </c>
      <c r="P3" s="5" t="s">
        <v>110</v>
      </c>
      <c r="Q3" s="5" t="s">
        <v>110</v>
      </c>
      <c r="R3" s="5" t="s">
        <v>110</v>
      </c>
      <c r="S3" s="5" t="s">
        <v>110</v>
      </c>
      <c r="T3" s="5" t="s">
        <v>110</v>
      </c>
      <c r="U3" s="5" t="s">
        <v>110</v>
      </c>
      <c r="V3" s="5" t="s">
        <v>110</v>
      </c>
      <c r="W3" s="5" t="s">
        <v>111</v>
      </c>
      <c r="X3" s="5" t="s">
        <v>118</v>
      </c>
      <c r="Y3" s="5" t="s">
        <v>109</v>
      </c>
      <c r="Z3" s="5" t="s">
        <v>109</v>
      </c>
      <c r="AA3" s="5" t="s">
        <v>109</v>
      </c>
      <c r="AB3" s="5" t="s">
        <v>109</v>
      </c>
      <c r="AC3" s="5" t="s">
        <v>110</v>
      </c>
      <c r="AD3" s="5" t="s">
        <v>110</v>
      </c>
      <c r="AE3" s="5" t="s">
        <v>110</v>
      </c>
      <c r="AF3" s="5" t="s">
        <v>110</v>
      </c>
      <c r="AG3" s="5" t="s">
        <v>110</v>
      </c>
      <c r="AH3" s="5" t="s">
        <v>110</v>
      </c>
      <c r="AI3" s="5" t="s">
        <v>110</v>
      </c>
      <c r="AJ3" s="5" t="s">
        <v>145</v>
      </c>
    </row>
    <row r="4" spans="2:36" x14ac:dyDescent="0.3">
      <c r="B4" s="19" t="s">
        <v>205</v>
      </c>
      <c r="C4" s="5"/>
      <c r="D4" s="5"/>
      <c r="E4" s="18"/>
      <c r="F4" s="5"/>
      <c r="G4" s="13" t="s">
        <v>27</v>
      </c>
      <c r="H4" s="14" t="s">
        <v>139</v>
      </c>
      <c r="I4" s="5"/>
      <c r="J4" s="5"/>
      <c r="K4" s="40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2:36" x14ac:dyDescent="0.3">
      <c r="B5" s="6">
        <v>2</v>
      </c>
      <c r="C5" s="8" t="s">
        <v>8</v>
      </c>
      <c r="D5" s="6" t="s">
        <v>130</v>
      </c>
      <c r="E5" s="10" t="s">
        <v>120</v>
      </c>
      <c r="F5" s="6">
        <v>100</v>
      </c>
      <c r="G5" s="15">
        <f>33+17+15</f>
        <v>65</v>
      </c>
      <c r="H5" s="6">
        <f>7+28</f>
        <v>35</v>
      </c>
      <c r="I5" s="6" t="s">
        <v>365</v>
      </c>
      <c r="J5" s="6" t="s">
        <v>283</v>
      </c>
      <c r="K5" s="37" t="s">
        <v>208</v>
      </c>
      <c r="L5" s="11"/>
      <c r="M5" s="12"/>
      <c r="N5" s="12"/>
      <c r="O5" s="12"/>
      <c r="P5" s="7"/>
      <c r="Q5" s="7"/>
      <c r="R5" s="7"/>
      <c r="S5" s="7"/>
      <c r="T5" s="7"/>
      <c r="U5" s="7"/>
      <c r="V5" s="7"/>
      <c r="W5" s="7">
        <v>0.73</v>
      </c>
      <c r="X5" s="7"/>
      <c r="Y5" s="17"/>
      <c r="Z5" s="17"/>
      <c r="AA5" s="17"/>
      <c r="AB5" s="17"/>
      <c r="AC5" s="7"/>
      <c r="AD5" s="7"/>
      <c r="AE5" s="7"/>
      <c r="AF5" s="7"/>
      <c r="AG5" s="7"/>
      <c r="AH5" s="7"/>
      <c r="AI5" s="7"/>
      <c r="AJ5" s="20"/>
    </row>
    <row r="6" spans="2:36" x14ac:dyDescent="0.3">
      <c r="B6" s="6">
        <v>14</v>
      </c>
      <c r="C6" s="8" t="s">
        <v>38</v>
      </c>
      <c r="D6" s="6" t="s">
        <v>131</v>
      </c>
      <c r="E6" s="10" t="s">
        <v>190</v>
      </c>
      <c r="F6" s="6">
        <v>70</v>
      </c>
      <c r="G6" s="6">
        <f>17+11+25</f>
        <v>53</v>
      </c>
      <c r="H6" s="6">
        <f>4+13</f>
        <v>17</v>
      </c>
      <c r="I6" s="6" t="s">
        <v>365</v>
      </c>
      <c r="J6" s="6" t="s">
        <v>283</v>
      </c>
      <c r="K6" s="37" t="s">
        <v>213</v>
      </c>
      <c r="L6" s="31"/>
      <c r="M6" s="16"/>
      <c r="N6" s="16"/>
      <c r="O6" s="16"/>
      <c r="P6" s="38">
        <v>73.58</v>
      </c>
      <c r="Q6" s="38">
        <v>52.94</v>
      </c>
      <c r="R6" s="38"/>
      <c r="S6" s="38"/>
      <c r="T6" s="38"/>
      <c r="U6" s="38"/>
      <c r="V6" s="38"/>
      <c r="W6" s="38">
        <v>0.6</v>
      </c>
      <c r="X6" s="35" t="s">
        <v>154</v>
      </c>
      <c r="Y6" s="16"/>
      <c r="Z6" s="16"/>
      <c r="AA6" s="16"/>
      <c r="AB6" s="16"/>
      <c r="AC6" s="6"/>
      <c r="AD6" s="6"/>
      <c r="AE6" s="6"/>
      <c r="AF6" s="6"/>
      <c r="AG6" s="6"/>
      <c r="AH6" s="6"/>
      <c r="AI6" s="6"/>
      <c r="AJ6" s="6"/>
    </row>
    <row r="7" spans="2:36" x14ac:dyDescent="0.3">
      <c r="B7" s="6"/>
      <c r="C7" s="8"/>
      <c r="D7" s="6"/>
      <c r="E7" s="10"/>
      <c r="F7" s="6">
        <v>70</v>
      </c>
      <c r="G7" s="6">
        <f>17+11+25</f>
        <v>53</v>
      </c>
      <c r="H7" s="6">
        <f>4+13</f>
        <v>17</v>
      </c>
      <c r="I7" s="6" t="s">
        <v>283</v>
      </c>
      <c r="J7" s="6" t="s">
        <v>136</v>
      </c>
      <c r="K7" s="37" t="s">
        <v>208</v>
      </c>
      <c r="L7" s="31"/>
      <c r="M7" s="16"/>
      <c r="N7" s="16"/>
      <c r="O7" s="16"/>
      <c r="P7" s="38">
        <v>73.58</v>
      </c>
      <c r="Q7" s="38">
        <v>76.47</v>
      </c>
      <c r="R7" s="38"/>
      <c r="S7" s="38"/>
      <c r="T7" s="38"/>
      <c r="U7" s="38"/>
      <c r="V7" s="38"/>
      <c r="W7" s="38">
        <v>0.76</v>
      </c>
      <c r="X7" s="35" t="s">
        <v>234</v>
      </c>
      <c r="Y7" s="16"/>
      <c r="Z7" s="16"/>
      <c r="AA7" s="16"/>
      <c r="AB7" s="16"/>
      <c r="AC7" s="6"/>
      <c r="AD7" s="6"/>
      <c r="AE7" s="6"/>
      <c r="AF7" s="6"/>
      <c r="AG7" s="6"/>
      <c r="AH7" s="6"/>
      <c r="AI7" s="6"/>
      <c r="AJ7" s="6"/>
    </row>
    <row r="8" spans="2:36" x14ac:dyDescent="0.3">
      <c r="B8" s="6"/>
      <c r="C8" s="8"/>
      <c r="D8" s="6" t="s">
        <v>132</v>
      </c>
      <c r="E8" s="10" t="s">
        <v>125</v>
      </c>
      <c r="F8" s="6">
        <v>33</v>
      </c>
      <c r="G8" s="15" t="s">
        <v>208</v>
      </c>
      <c r="H8" s="15" t="s">
        <v>208</v>
      </c>
      <c r="I8" s="6" t="s">
        <v>365</v>
      </c>
      <c r="J8" s="6"/>
      <c r="K8" s="37" t="s">
        <v>208</v>
      </c>
      <c r="L8" s="31"/>
      <c r="M8" s="16"/>
      <c r="N8" s="16"/>
      <c r="O8" s="16"/>
      <c r="P8" s="38">
        <v>85.19</v>
      </c>
      <c r="Q8" s="38">
        <v>50</v>
      </c>
      <c r="R8" s="38"/>
      <c r="S8" s="38"/>
      <c r="T8" s="38"/>
      <c r="U8" s="38"/>
      <c r="V8" s="38"/>
      <c r="W8" s="38">
        <v>0.57999999999999996</v>
      </c>
      <c r="X8" s="35" t="s">
        <v>199</v>
      </c>
      <c r="Y8" s="16"/>
      <c r="Z8" s="16"/>
      <c r="AA8" s="16"/>
      <c r="AB8" s="16"/>
      <c r="AC8" s="6"/>
      <c r="AD8" s="6"/>
      <c r="AE8" s="6"/>
      <c r="AF8" s="6"/>
      <c r="AG8" s="6"/>
      <c r="AH8" s="6"/>
      <c r="AI8" s="6"/>
      <c r="AJ8" s="6"/>
    </row>
    <row r="9" spans="2:36" x14ac:dyDescent="0.3">
      <c r="B9" s="6"/>
      <c r="C9" s="8"/>
      <c r="D9" s="6"/>
      <c r="E9" s="10"/>
      <c r="F9" s="6">
        <v>33</v>
      </c>
      <c r="G9" s="15" t="s">
        <v>208</v>
      </c>
      <c r="H9" s="15" t="s">
        <v>208</v>
      </c>
      <c r="I9" s="6" t="s">
        <v>283</v>
      </c>
      <c r="J9" s="6" t="s">
        <v>136</v>
      </c>
      <c r="K9" s="37" t="s">
        <v>208</v>
      </c>
      <c r="L9" s="31"/>
      <c r="M9" s="16"/>
      <c r="N9" s="16"/>
      <c r="O9" s="16"/>
      <c r="P9" s="38">
        <v>85.19</v>
      </c>
      <c r="Q9" s="38">
        <v>66.67</v>
      </c>
      <c r="R9" s="38"/>
      <c r="S9" s="38"/>
      <c r="T9" s="38"/>
      <c r="U9" s="38"/>
      <c r="V9" s="38"/>
      <c r="W9" s="38">
        <v>0.747</v>
      </c>
      <c r="X9" s="35" t="s">
        <v>236</v>
      </c>
      <c r="Y9" s="16"/>
      <c r="Z9" s="16"/>
      <c r="AA9" s="16"/>
      <c r="AB9" s="16"/>
      <c r="AC9" s="6"/>
      <c r="AD9" s="6"/>
      <c r="AE9" s="6"/>
      <c r="AF9" s="6"/>
      <c r="AG9" s="6"/>
      <c r="AH9" s="6"/>
      <c r="AI9" s="6"/>
      <c r="AJ9" s="6"/>
    </row>
    <row r="10" spans="2:36" x14ac:dyDescent="0.3">
      <c r="B10" s="6"/>
      <c r="C10" s="8"/>
      <c r="D10" s="6" t="s">
        <v>130</v>
      </c>
      <c r="E10" s="10" t="s">
        <v>120</v>
      </c>
      <c r="F10" s="6" t="s">
        <v>281</v>
      </c>
      <c r="G10" s="15" t="s">
        <v>208</v>
      </c>
      <c r="H10" s="15" t="s">
        <v>208</v>
      </c>
      <c r="I10" s="6" t="s">
        <v>365</v>
      </c>
      <c r="J10" s="6"/>
      <c r="K10" s="37" t="s">
        <v>208</v>
      </c>
      <c r="L10" s="31"/>
      <c r="M10" s="16"/>
      <c r="N10" s="16"/>
      <c r="O10" s="16"/>
      <c r="P10" s="38">
        <v>56.52</v>
      </c>
      <c r="Q10" s="38">
        <v>100</v>
      </c>
      <c r="R10" s="38"/>
      <c r="S10" s="38"/>
      <c r="T10" s="38"/>
      <c r="U10" s="38"/>
      <c r="V10" s="38"/>
      <c r="W10" s="38">
        <v>0.82199999999999995</v>
      </c>
      <c r="X10" s="35" t="s">
        <v>200</v>
      </c>
      <c r="Y10" s="16"/>
      <c r="Z10" s="16"/>
      <c r="AA10" s="16"/>
      <c r="AB10" s="16"/>
      <c r="AC10" s="6"/>
      <c r="AD10" s="6"/>
      <c r="AE10" s="6"/>
      <c r="AF10" s="6"/>
      <c r="AG10" s="6"/>
      <c r="AH10" s="6"/>
      <c r="AI10" s="6"/>
      <c r="AJ10" s="6"/>
    </row>
    <row r="11" spans="2:36" x14ac:dyDescent="0.3">
      <c r="B11" s="6"/>
      <c r="C11" s="8"/>
      <c r="D11" s="6"/>
      <c r="E11" s="10"/>
      <c r="F11" s="6" t="s">
        <v>281</v>
      </c>
      <c r="G11" s="15" t="s">
        <v>208</v>
      </c>
      <c r="H11" s="15" t="s">
        <v>208</v>
      </c>
      <c r="I11" s="6" t="s">
        <v>283</v>
      </c>
      <c r="J11" s="6" t="s">
        <v>136</v>
      </c>
      <c r="K11" s="37" t="s">
        <v>208</v>
      </c>
      <c r="L11" s="31"/>
      <c r="M11" s="16"/>
      <c r="N11" s="16"/>
      <c r="O11" s="16"/>
      <c r="P11" s="38">
        <v>95.65</v>
      </c>
      <c r="Q11" s="38">
        <v>60</v>
      </c>
      <c r="R11" s="38"/>
      <c r="S11" s="38"/>
      <c r="T11" s="38"/>
      <c r="U11" s="38"/>
      <c r="V11" s="38"/>
      <c r="W11" s="38">
        <v>0.8</v>
      </c>
      <c r="X11" s="35" t="s">
        <v>237</v>
      </c>
      <c r="Y11" s="16"/>
      <c r="Z11" s="16"/>
      <c r="AA11" s="16"/>
      <c r="AB11" s="16"/>
      <c r="AC11" s="6"/>
      <c r="AD11" s="6"/>
      <c r="AE11" s="6"/>
      <c r="AF11" s="6"/>
      <c r="AG11" s="6"/>
      <c r="AH11" s="6"/>
      <c r="AI11" s="6"/>
      <c r="AJ11" s="6"/>
    </row>
    <row r="12" spans="2:36" x14ac:dyDescent="0.3">
      <c r="B12" s="6">
        <v>18</v>
      </c>
      <c r="C12" s="8" t="s">
        <v>45</v>
      </c>
      <c r="D12" s="6" t="s">
        <v>18</v>
      </c>
      <c r="E12" s="10" t="s">
        <v>214</v>
      </c>
      <c r="F12" s="6" t="s">
        <v>209</v>
      </c>
      <c r="G12" s="15" t="s">
        <v>208</v>
      </c>
      <c r="H12" s="15" t="s">
        <v>208</v>
      </c>
      <c r="I12" s="6" t="s">
        <v>365</v>
      </c>
      <c r="J12" s="6" t="s">
        <v>283</v>
      </c>
      <c r="K12" s="37" t="s">
        <v>213</v>
      </c>
      <c r="L12" s="11"/>
      <c r="M12" s="12"/>
      <c r="N12" s="12"/>
      <c r="O12" s="12"/>
      <c r="P12" s="38"/>
      <c r="Q12" s="38"/>
      <c r="R12" s="38"/>
      <c r="S12" s="38"/>
      <c r="T12" s="38"/>
      <c r="U12" s="38"/>
      <c r="V12" s="38"/>
      <c r="W12" s="38">
        <v>0.86599999999999999</v>
      </c>
      <c r="X12" s="35" t="s">
        <v>207</v>
      </c>
      <c r="Y12" s="12"/>
      <c r="Z12" s="12"/>
      <c r="AA12" s="12"/>
      <c r="AB12" s="12"/>
      <c r="AC12" s="7"/>
      <c r="AD12" s="7"/>
      <c r="AE12" s="7"/>
      <c r="AF12" s="7"/>
      <c r="AG12" s="7"/>
      <c r="AH12" s="7"/>
      <c r="AI12" s="7"/>
      <c r="AJ12" s="7"/>
    </row>
    <row r="13" spans="2:36" x14ac:dyDescent="0.3">
      <c r="B13" s="6">
        <v>42</v>
      </c>
      <c r="C13" s="8" t="s">
        <v>93</v>
      </c>
      <c r="D13" s="6" t="s">
        <v>131</v>
      </c>
      <c r="E13" s="10" t="s">
        <v>126</v>
      </c>
      <c r="F13" s="6">
        <v>376</v>
      </c>
      <c r="G13" s="15">
        <f>97+78+130</f>
        <v>305</v>
      </c>
      <c r="H13" s="6">
        <f>29+42</f>
        <v>71</v>
      </c>
      <c r="I13" s="6" t="s">
        <v>365</v>
      </c>
      <c r="J13" s="6" t="s">
        <v>283</v>
      </c>
      <c r="K13" s="37" t="s">
        <v>213</v>
      </c>
      <c r="L13" s="11"/>
      <c r="M13" s="12"/>
      <c r="N13" s="12"/>
      <c r="O13" s="12"/>
      <c r="P13" s="38"/>
      <c r="Q13" s="38"/>
      <c r="R13" s="38"/>
      <c r="S13" s="38"/>
      <c r="T13" s="38"/>
      <c r="U13" s="38"/>
      <c r="V13" s="38"/>
      <c r="W13" s="38">
        <v>0.74099999999999999</v>
      </c>
      <c r="X13" s="7"/>
      <c r="Y13" s="12"/>
      <c r="Z13" s="12"/>
      <c r="AA13" s="12"/>
      <c r="AB13" s="12"/>
      <c r="AC13" s="7"/>
      <c r="AD13" s="7"/>
      <c r="AE13" s="7"/>
      <c r="AF13" s="7"/>
      <c r="AG13" s="7"/>
      <c r="AH13" s="7"/>
      <c r="AI13" s="7"/>
      <c r="AJ13" s="7"/>
    </row>
    <row r="14" spans="2:36" x14ac:dyDescent="0.3">
      <c r="B14" s="19" t="s">
        <v>140</v>
      </c>
      <c r="C14" s="5"/>
      <c r="D14" s="5"/>
      <c r="E14" s="18"/>
      <c r="F14" s="5"/>
      <c r="G14" s="13" t="s">
        <v>140</v>
      </c>
      <c r="H14" s="14" t="s">
        <v>141</v>
      </c>
      <c r="I14" s="5"/>
      <c r="J14" s="5"/>
      <c r="K14" s="40"/>
      <c r="L14" s="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2:36" x14ac:dyDescent="0.3">
      <c r="B15" s="6">
        <v>2</v>
      </c>
      <c r="C15" s="8" t="s">
        <v>8</v>
      </c>
      <c r="D15" s="6" t="s">
        <v>130</v>
      </c>
      <c r="E15" s="10" t="s">
        <v>120</v>
      </c>
      <c r="F15" s="6">
        <v>100</v>
      </c>
      <c r="G15" s="43">
        <v>32</v>
      </c>
      <c r="H15" s="44">
        <v>68</v>
      </c>
      <c r="I15" s="6" t="s">
        <v>365</v>
      </c>
      <c r="J15" s="6" t="s">
        <v>283</v>
      </c>
      <c r="K15" s="37" t="s">
        <v>208</v>
      </c>
      <c r="L15" s="11"/>
      <c r="M15" s="12"/>
      <c r="N15" s="12"/>
      <c r="O15" s="12"/>
      <c r="P15" s="38"/>
      <c r="Q15" s="38"/>
      <c r="R15" s="38"/>
      <c r="S15" s="38"/>
      <c r="T15" s="38"/>
      <c r="U15" s="38"/>
      <c r="V15" s="38"/>
      <c r="W15" s="38">
        <v>0.84</v>
      </c>
      <c r="X15" s="38"/>
      <c r="Y15" s="17"/>
      <c r="Z15" s="17"/>
      <c r="AA15" s="17"/>
      <c r="AB15" s="17"/>
      <c r="AC15" s="7"/>
      <c r="AD15" s="7"/>
      <c r="AE15" s="7"/>
      <c r="AF15" s="7"/>
      <c r="AG15" s="7"/>
      <c r="AH15" s="7"/>
      <c r="AI15" s="7"/>
      <c r="AJ15" s="20"/>
    </row>
    <row r="16" spans="2:36" x14ac:dyDescent="0.3">
      <c r="B16" s="6">
        <v>11</v>
      </c>
      <c r="C16" s="8" t="s">
        <v>32</v>
      </c>
      <c r="D16" s="6" t="s">
        <v>132</v>
      </c>
      <c r="E16" s="10" t="s">
        <v>125</v>
      </c>
      <c r="F16" s="6">
        <v>96</v>
      </c>
      <c r="G16" s="41">
        <f>10+3</f>
        <v>13</v>
      </c>
      <c r="H16" s="41">
        <f>25+44+14</f>
        <v>83</v>
      </c>
      <c r="I16" s="6" t="s">
        <v>365</v>
      </c>
      <c r="J16" s="6" t="s">
        <v>283</v>
      </c>
      <c r="K16" s="37" t="s">
        <v>213</v>
      </c>
      <c r="L16" s="31"/>
      <c r="M16" s="16"/>
      <c r="N16" s="16"/>
      <c r="O16" s="16"/>
      <c r="P16" s="45">
        <v>100</v>
      </c>
      <c r="Q16" s="45">
        <v>63.4</v>
      </c>
      <c r="R16" s="45"/>
      <c r="S16" s="45"/>
      <c r="T16" s="45"/>
      <c r="U16" s="45"/>
      <c r="V16" s="45"/>
      <c r="W16" s="45">
        <v>0.86499999999999999</v>
      </c>
      <c r="X16" s="38"/>
      <c r="Y16" s="16"/>
      <c r="Z16" s="16"/>
      <c r="AA16" s="16"/>
      <c r="AB16" s="16"/>
      <c r="AC16" s="6"/>
      <c r="AD16" s="6"/>
      <c r="AE16" s="6"/>
      <c r="AF16" s="6"/>
      <c r="AG16" s="6"/>
      <c r="AH16" s="6"/>
      <c r="AI16" s="6"/>
      <c r="AJ16" s="6"/>
    </row>
    <row r="17" spans="2:36" x14ac:dyDescent="0.3">
      <c r="B17" s="19" t="s">
        <v>80</v>
      </c>
      <c r="C17" s="5"/>
      <c r="D17" s="5"/>
      <c r="E17" s="18"/>
      <c r="F17" s="5"/>
      <c r="G17" s="13" t="s">
        <v>80</v>
      </c>
      <c r="H17" s="14" t="s">
        <v>142</v>
      </c>
      <c r="I17" s="5"/>
      <c r="J17" s="5"/>
      <c r="K17" s="40"/>
      <c r="L17" s="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2:36" x14ac:dyDescent="0.3">
      <c r="B18" s="6">
        <v>11</v>
      </c>
      <c r="C18" s="8" t="s">
        <v>32</v>
      </c>
      <c r="D18" s="6" t="s">
        <v>132</v>
      </c>
      <c r="E18" s="10" t="s">
        <v>125</v>
      </c>
      <c r="F18" s="6">
        <v>96</v>
      </c>
      <c r="G18" s="6">
        <v>3</v>
      </c>
      <c r="H18" s="6">
        <f>25+44+14+10</f>
        <v>93</v>
      </c>
      <c r="I18" s="6" t="s">
        <v>365</v>
      </c>
      <c r="J18" s="6" t="s">
        <v>283</v>
      </c>
      <c r="K18" s="37" t="s">
        <v>213</v>
      </c>
      <c r="L18" s="31"/>
      <c r="M18" s="16"/>
      <c r="N18" s="16"/>
      <c r="O18" s="16"/>
      <c r="P18" s="45">
        <v>100</v>
      </c>
      <c r="Q18" s="45">
        <v>56.5</v>
      </c>
      <c r="R18" s="45"/>
      <c r="S18" s="45"/>
      <c r="T18" s="45"/>
      <c r="U18" s="45"/>
      <c r="V18" s="45"/>
      <c r="W18" s="45">
        <v>0.77400000000000002</v>
      </c>
      <c r="X18" s="6"/>
      <c r="Y18" s="16"/>
      <c r="Z18" s="16"/>
      <c r="AA18" s="16"/>
      <c r="AB18" s="16"/>
      <c r="AC18" s="6"/>
      <c r="AD18" s="6"/>
      <c r="AE18" s="6"/>
      <c r="AF18" s="6"/>
      <c r="AG18" s="6"/>
      <c r="AH18" s="6"/>
      <c r="AI18" s="6"/>
      <c r="AJ18" s="6"/>
    </row>
    <row r="19" spans="2:36" x14ac:dyDescent="0.3">
      <c r="B19" s="6">
        <v>14</v>
      </c>
      <c r="C19" s="8" t="s">
        <v>38</v>
      </c>
      <c r="D19" s="6" t="s">
        <v>131</v>
      </c>
      <c r="E19" s="10" t="s">
        <v>190</v>
      </c>
      <c r="F19" s="6">
        <v>70</v>
      </c>
      <c r="G19" s="6">
        <v>25</v>
      </c>
      <c r="H19" s="6">
        <f>4+13+17+11</f>
        <v>45</v>
      </c>
      <c r="I19" s="6" t="s">
        <v>365</v>
      </c>
      <c r="J19" s="6" t="s">
        <v>283</v>
      </c>
      <c r="K19" s="37" t="s">
        <v>208</v>
      </c>
      <c r="L19" s="11"/>
      <c r="M19" s="12"/>
      <c r="N19" s="12"/>
      <c r="O19" s="12"/>
      <c r="P19" s="38">
        <v>84</v>
      </c>
      <c r="Q19" s="38">
        <v>55.56</v>
      </c>
      <c r="R19" s="38"/>
      <c r="S19" s="38"/>
      <c r="T19" s="38"/>
      <c r="U19" s="38"/>
      <c r="V19" s="38"/>
      <c r="W19" s="38">
        <v>0.72099999999999997</v>
      </c>
      <c r="X19" s="35" t="s">
        <v>156</v>
      </c>
      <c r="Y19" s="12"/>
      <c r="Z19" s="12"/>
      <c r="AA19" s="12"/>
      <c r="AB19" s="12"/>
      <c r="AC19" s="7"/>
      <c r="AD19" s="7"/>
      <c r="AE19" s="7"/>
      <c r="AF19" s="7"/>
      <c r="AG19" s="7"/>
      <c r="AH19" s="7"/>
      <c r="AI19" s="7"/>
      <c r="AJ19" s="7"/>
    </row>
    <row r="20" spans="2:36" x14ac:dyDescent="0.3">
      <c r="B20" s="6"/>
      <c r="C20" s="8"/>
      <c r="D20" s="6"/>
      <c r="E20" s="10"/>
      <c r="F20" s="6">
        <v>70</v>
      </c>
      <c r="G20" s="6">
        <v>25</v>
      </c>
      <c r="H20" s="6">
        <f>4+13+17+11</f>
        <v>45</v>
      </c>
      <c r="I20" s="6" t="s">
        <v>283</v>
      </c>
      <c r="J20" s="6" t="s">
        <v>136</v>
      </c>
      <c r="K20" s="37" t="s">
        <v>208</v>
      </c>
      <c r="L20" s="11"/>
      <c r="M20" s="12"/>
      <c r="N20" s="12"/>
      <c r="O20" s="12"/>
      <c r="P20" s="38">
        <v>96</v>
      </c>
      <c r="Q20" s="38">
        <v>62.22</v>
      </c>
      <c r="R20" s="38"/>
      <c r="S20" s="38"/>
      <c r="T20" s="38"/>
      <c r="U20" s="38"/>
      <c r="V20" s="38"/>
      <c r="W20" s="38">
        <v>0.82699999999999996</v>
      </c>
      <c r="X20" s="35" t="s">
        <v>240</v>
      </c>
      <c r="Y20" s="12"/>
      <c r="Z20" s="12"/>
      <c r="AA20" s="12"/>
      <c r="AB20" s="12"/>
      <c r="AC20" s="7"/>
      <c r="AD20" s="7"/>
      <c r="AE20" s="7"/>
      <c r="AF20" s="7"/>
      <c r="AG20" s="7"/>
      <c r="AH20" s="7"/>
      <c r="AI20" s="7"/>
      <c r="AJ20" s="7"/>
    </row>
    <row r="21" spans="2:36" x14ac:dyDescent="0.3">
      <c r="B21" s="6"/>
      <c r="C21" s="8"/>
      <c r="D21" s="6" t="s">
        <v>132</v>
      </c>
      <c r="E21" s="10" t="s">
        <v>125</v>
      </c>
      <c r="F21" s="6">
        <v>33</v>
      </c>
      <c r="G21" s="15" t="s">
        <v>208</v>
      </c>
      <c r="H21" s="15" t="s">
        <v>208</v>
      </c>
      <c r="I21" s="6" t="s">
        <v>365</v>
      </c>
      <c r="J21" s="6" t="s">
        <v>283</v>
      </c>
      <c r="K21" s="37" t="s">
        <v>208</v>
      </c>
      <c r="L21" s="11"/>
      <c r="M21" s="12"/>
      <c r="N21" s="12"/>
      <c r="O21" s="12"/>
      <c r="P21" s="38">
        <v>84.62</v>
      </c>
      <c r="Q21" s="38">
        <v>65</v>
      </c>
      <c r="R21" s="38"/>
      <c r="S21" s="38"/>
      <c r="T21" s="38"/>
      <c r="U21" s="38"/>
      <c r="V21" s="38"/>
      <c r="W21" s="38">
        <v>0.69199999999999995</v>
      </c>
      <c r="X21" s="35" t="s">
        <v>201</v>
      </c>
      <c r="Y21" s="12"/>
      <c r="Z21" s="12"/>
      <c r="AA21" s="12"/>
      <c r="AB21" s="12"/>
      <c r="AC21" s="7"/>
      <c r="AD21" s="7"/>
      <c r="AE21" s="7"/>
      <c r="AF21" s="7"/>
      <c r="AG21" s="7"/>
      <c r="AH21" s="7"/>
      <c r="AI21" s="7"/>
      <c r="AJ21" s="7"/>
    </row>
    <row r="22" spans="2:36" x14ac:dyDescent="0.3">
      <c r="B22" s="6"/>
      <c r="C22" s="8"/>
      <c r="D22" s="6"/>
      <c r="E22" s="10"/>
      <c r="F22" s="6">
        <v>33</v>
      </c>
      <c r="G22" s="15" t="s">
        <v>208</v>
      </c>
      <c r="H22" s="15" t="s">
        <v>208</v>
      </c>
      <c r="I22" s="6" t="s">
        <v>283</v>
      </c>
      <c r="J22" s="6" t="s">
        <v>136</v>
      </c>
      <c r="K22" s="37" t="s">
        <v>208</v>
      </c>
      <c r="L22" s="11"/>
      <c r="M22" s="12"/>
      <c r="N22" s="12"/>
      <c r="O22" s="12"/>
      <c r="P22" s="38">
        <v>92.31</v>
      </c>
      <c r="Q22" s="38">
        <v>70</v>
      </c>
      <c r="R22" s="38"/>
      <c r="S22" s="38"/>
      <c r="T22" s="38"/>
      <c r="U22" s="38"/>
      <c r="V22" s="38"/>
      <c r="W22" s="38">
        <v>0.81299999999999994</v>
      </c>
      <c r="X22" s="35" t="s">
        <v>241</v>
      </c>
      <c r="Y22" s="12"/>
      <c r="Z22" s="12"/>
      <c r="AA22" s="12"/>
      <c r="AB22" s="12"/>
      <c r="AC22" s="7"/>
      <c r="AD22" s="7"/>
      <c r="AE22" s="7"/>
      <c r="AF22" s="7"/>
      <c r="AG22" s="7"/>
      <c r="AH22" s="7"/>
      <c r="AI22" s="7"/>
      <c r="AJ22" s="7"/>
    </row>
    <row r="23" spans="2:36" x14ac:dyDescent="0.3">
      <c r="B23" s="6"/>
      <c r="C23" s="8"/>
      <c r="D23" s="6" t="s">
        <v>130</v>
      </c>
      <c r="E23" s="10" t="s">
        <v>120</v>
      </c>
      <c r="F23" s="6" t="s">
        <v>281</v>
      </c>
      <c r="G23" s="15" t="s">
        <v>208</v>
      </c>
      <c r="H23" s="15" t="s">
        <v>208</v>
      </c>
      <c r="I23" s="6" t="s">
        <v>365</v>
      </c>
      <c r="J23" s="6" t="s">
        <v>283</v>
      </c>
      <c r="K23" s="37" t="s">
        <v>208</v>
      </c>
      <c r="L23" s="11"/>
      <c r="M23" s="12"/>
      <c r="N23" s="12"/>
      <c r="O23" s="12"/>
      <c r="P23" s="38">
        <v>72.73</v>
      </c>
      <c r="Q23" s="38">
        <v>76.47</v>
      </c>
      <c r="R23" s="38"/>
      <c r="S23" s="38"/>
      <c r="T23" s="38"/>
      <c r="U23" s="38"/>
      <c r="V23" s="38"/>
      <c r="W23" s="38">
        <v>0.79100000000000004</v>
      </c>
      <c r="X23" s="35" t="s">
        <v>202</v>
      </c>
      <c r="Y23" s="12"/>
      <c r="Z23" s="12"/>
      <c r="AA23" s="12"/>
      <c r="AB23" s="12"/>
      <c r="AC23" s="7"/>
      <c r="AD23" s="7"/>
      <c r="AE23" s="7"/>
      <c r="AF23" s="7"/>
      <c r="AG23" s="7"/>
      <c r="AH23" s="7"/>
      <c r="AI23" s="7"/>
      <c r="AJ23" s="7"/>
    </row>
    <row r="24" spans="2:36" x14ac:dyDescent="0.3">
      <c r="B24" s="6"/>
      <c r="C24" s="8"/>
      <c r="D24" s="6"/>
      <c r="E24" s="10"/>
      <c r="F24" s="6" t="s">
        <v>281</v>
      </c>
      <c r="G24" s="15" t="s">
        <v>208</v>
      </c>
      <c r="H24" s="15" t="s">
        <v>208</v>
      </c>
      <c r="I24" s="6" t="s">
        <v>283</v>
      </c>
      <c r="J24" s="6" t="s">
        <v>136</v>
      </c>
      <c r="K24" s="37" t="s">
        <v>208</v>
      </c>
      <c r="L24" s="11"/>
      <c r="M24" s="12"/>
      <c r="N24" s="12"/>
      <c r="O24" s="12"/>
      <c r="P24" s="38">
        <v>90.91</v>
      </c>
      <c r="Q24" s="38">
        <v>70.59</v>
      </c>
      <c r="R24" s="38"/>
      <c r="S24" s="38"/>
      <c r="T24" s="38"/>
      <c r="U24" s="38"/>
      <c r="V24" s="38"/>
      <c r="W24" s="38">
        <v>0.85599999999999998</v>
      </c>
      <c r="X24" s="35" t="s">
        <v>242</v>
      </c>
      <c r="Y24" s="12"/>
      <c r="Z24" s="12"/>
      <c r="AA24" s="12"/>
      <c r="AB24" s="12"/>
      <c r="AC24" s="7"/>
      <c r="AD24" s="7"/>
      <c r="AE24" s="7"/>
      <c r="AF24" s="7"/>
      <c r="AG24" s="7"/>
      <c r="AH24" s="7"/>
      <c r="AI24" s="7"/>
      <c r="AJ24" s="7"/>
    </row>
    <row r="25" spans="2:36" x14ac:dyDescent="0.3">
      <c r="B25" s="6">
        <v>42</v>
      </c>
      <c r="C25" s="8" t="s">
        <v>93</v>
      </c>
      <c r="D25" s="6" t="s">
        <v>131</v>
      </c>
      <c r="E25" s="10" t="s">
        <v>126</v>
      </c>
      <c r="F25" s="6">
        <v>376</v>
      </c>
      <c r="G25" s="15">
        <v>130</v>
      </c>
      <c r="H25" s="6">
        <f>29+42+97+78</f>
        <v>246</v>
      </c>
      <c r="I25" s="6" t="s">
        <v>365</v>
      </c>
      <c r="J25" s="6" t="s">
        <v>283</v>
      </c>
      <c r="K25" s="37" t="s">
        <v>213</v>
      </c>
      <c r="L25" s="11"/>
      <c r="M25" s="12"/>
      <c r="N25" s="12"/>
      <c r="O25" s="12"/>
      <c r="P25" s="38"/>
      <c r="Q25" s="38"/>
      <c r="R25" s="38"/>
      <c r="S25" s="38"/>
      <c r="T25" s="38"/>
      <c r="U25" s="38"/>
      <c r="V25" s="38"/>
      <c r="W25" s="45">
        <v>0.70099999999999996</v>
      </c>
      <c r="X25" s="7"/>
      <c r="Y25" s="12"/>
      <c r="Z25" s="12"/>
      <c r="AA25" s="12"/>
      <c r="AB25" s="12"/>
      <c r="AC25" s="7"/>
      <c r="AD25" s="7"/>
      <c r="AE25" s="7"/>
      <c r="AF25" s="7"/>
      <c r="AG25" s="7"/>
      <c r="AH25" s="7"/>
      <c r="AI25" s="7"/>
      <c r="AJ25" s="7"/>
    </row>
  </sheetData>
  <sheetProtection algorithmName="SHA-512" hashValue="JFi6o2Z7LZY9siOzjmiOklrvgwfrTDNm1z0xhR6YS4j939OD5PLVnINubLzTLpyvklKx+oidwtqKmOC8hTKidQ==" saltValue="EusUHxkGi70qPuTJDqx60w==" spinCount="100000" sheet="1" objects="1" scenarios="1" selectLockedCells="1" selectUnlockedCells="1"/>
  <mergeCells count="12">
    <mergeCell ref="C1:C3"/>
    <mergeCell ref="D1:H1"/>
    <mergeCell ref="I1:K1"/>
    <mergeCell ref="B1:B3"/>
    <mergeCell ref="Y1:AJ1"/>
    <mergeCell ref="D2:D3"/>
    <mergeCell ref="E2:E3"/>
    <mergeCell ref="I2:I3"/>
    <mergeCell ref="K2:K3"/>
    <mergeCell ref="W2:X2"/>
    <mergeCell ref="L1:X1"/>
    <mergeCell ref="J2:J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기초특성(45편)</vt:lpstr>
      <vt:lpstr>F2</vt:lpstr>
      <vt:lpstr>F3</vt:lpstr>
      <vt:lpstr>F4</vt:lpstr>
      <vt:lpstr>임계값을 보고하지 않은 문헌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2022-10-03T23:46:42Z</dcterms:created>
  <dcterms:modified xsi:type="dcterms:W3CDTF">2023-05-23T08:49:33Z</dcterms:modified>
</cp:coreProperties>
</file>